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omments2.xml" ContentType="application/vnd.openxmlformats-officedocument.spreadsheetml.comments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1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6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X:\PROCESSOS DE REDES\001_PASTA_GERAL_DPR\02_DPR_PROJETOS_PARTICULARES\1_PEE_PADRAO_DE_ENTRADA_DE_ENERGIA\2.1_PLANILHAS_RELÉ_AFER_GRAD\"/>
    </mc:Choice>
  </mc:AlternateContent>
  <xr:revisionPtr revIDLastSave="0" documentId="13_ncr:1_{751A948A-CFAB-4AA7-8835-F9176DB79B0A}" xr6:coauthVersionLast="47" xr6:coauthVersionMax="47" xr10:uidLastSave="{00000000-0000-0000-0000-000000000000}"/>
  <bookViews>
    <workbookView xWindow="20370" yWindow="-4680" windowWidth="29040" windowHeight="15840" activeTab="1" xr2:uid="{00000000-000D-0000-FFFF-FFFF00000000}"/>
  </bookViews>
  <sheets>
    <sheet name="1.Formulário" sheetId="3" r:id="rId1"/>
    <sheet name="2.Tabe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" l="1"/>
  <c r="G92" i="1" s="1"/>
  <c r="H92" i="1" s="1"/>
  <c r="I92" i="1"/>
  <c r="D101" i="1"/>
  <c r="E101" i="1"/>
  <c r="I101" i="1"/>
  <c r="D105" i="1"/>
  <c r="E105" i="1" s="1"/>
  <c r="F105" i="1" s="1"/>
  <c r="G105" i="1"/>
  <c r="H105" i="1"/>
  <c r="I105" i="1"/>
  <c r="J105" i="1"/>
  <c r="D106" i="1"/>
  <c r="E106" i="1" s="1"/>
  <c r="F106" i="1" s="1"/>
  <c r="G106" i="1"/>
  <c r="H106" i="1"/>
  <c r="I106" i="1"/>
  <c r="J106" i="1"/>
  <c r="C5" i="1"/>
  <c r="D5" i="1"/>
  <c r="E5" i="1"/>
  <c r="C9" i="1"/>
  <c r="D9" i="1"/>
  <c r="E9" i="1"/>
  <c r="P10" i="1"/>
  <c r="O10" i="1"/>
  <c r="N10" i="1"/>
  <c r="M10" i="1"/>
  <c r="L10" i="1"/>
  <c r="P6" i="1"/>
  <c r="O6" i="1"/>
  <c r="N6" i="1"/>
  <c r="M6" i="1"/>
  <c r="L6" i="1"/>
  <c r="D96" i="1" l="1"/>
  <c r="D97" i="1" s="1"/>
  <c r="F96" i="1"/>
  <c r="G96" i="1" s="1"/>
  <c r="I96" i="1" s="1"/>
  <c r="R6" i="1"/>
  <c r="M16" i="1" s="1"/>
  <c r="Q10" i="1"/>
  <c r="Q31" i="1" s="1"/>
  <c r="P31" i="1" s="1"/>
  <c r="R10" i="1"/>
  <c r="Q16" i="1" s="1"/>
  <c r="Q6" i="1"/>
  <c r="M31" i="1" s="1"/>
  <c r="L31" i="1" s="1"/>
  <c r="J26" i="3"/>
  <c r="S26" i="3"/>
  <c r="AL21" i="3"/>
  <c r="AL20" i="3"/>
  <c r="AL19" i="3"/>
  <c r="B9" i="1" l="1"/>
  <c r="B5" i="1"/>
  <c r="H96" i="1"/>
  <c r="M21" i="1"/>
  <c r="M22" i="1" s="1"/>
  <c r="L22" i="1" s="1"/>
  <c r="M15" i="1"/>
  <c r="P16" i="1"/>
  <c r="L16" i="1"/>
  <c r="Q21" i="1"/>
  <c r="P21" i="1" s="1"/>
  <c r="Q15" i="1"/>
  <c r="AZ7" i="3"/>
  <c r="AV27" i="3" s="1"/>
  <c r="F5" i="1" s="1"/>
  <c r="C30" i="1" s="1"/>
  <c r="B30" i="1" s="1"/>
  <c r="AO26" i="1"/>
  <c r="AP26" i="1"/>
  <c r="AO25" i="1"/>
  <c r="AP25" i="1"/>
  <c r="AO24" i="1"/>
  <c r="AP24" i="1"/>
  <c r="AO23" i="1"/>
  <c r="AP23" i="1"/>
  <c r="AO22" i="1"/>
  <c r="AP22" i="1"/>
  <c r="AO21" i="1"/>
  <c r="AP21" i="1"/>
  <c r="AO20" i="1"/>
  <c r="AP20" i="1"/>
  <c r="AO19" i="1"/>
  <c r="AP19" i="1"/>
  <c r="AO18" i="1"/>
  <c r="AP18" i="1"/>
  <c r="AO8" i="1"/>
  <c r="AO9" i="1"/>
  <c r="AO10" i="1"/>
  <c r="AO11" i="1"/>
  <c r="AO12" i="1"/>
  <c r="AO13" i="1"/>
  <c r="AO14" i="1"/>
  <c r="AO15" i="1"/>
  <c r="AO16" i="1"/>
  <c r="AO17" i="1"/>
  <c r="AP17" i="1"/>
  <c r="AP16" i="1"/>
  <c r="AP15" i="1"/>
  <c r="AP14" i="1"/>
  <c r="AP13" i="1"/>
  <c r="AP12" i="1"/>
  <c r="AP11" i="1"/>
  <c r="AP10" i="1"/>
  <c r="AP9" i="1"/>
  <c r="AP8" i="1"/>
  <c r="Z18" i="3"/>
  <c r="A21" i="3"/>
  <c r="A20" i="3"/>
  <c r="A19" i="3"/>
  <c r="Z19" i="3" s="1"/>
  <c r="A18" i="3"/>
  <c r="A17" i="3"/>
  <c r="AF20" i="3" l="1"/>
  <c r="BB20" i="3"/>
  <c r="AR20" i="3"/>
  <c r="AR21" i="3"/>
  <c r="AF21" i="3"/>
  <c r="Z20" i="3"/>
  <c r="Z17" i="3"/>
  <c r="BB17" i="3"/>
  <c r="Z21" i="3"/>
  <c r="AF18" i="3"/>
  <c r="AR18" i="3"/>
  <c r="BB18" i="3"/>
  <c r="AL18" i="3"/>
  <c r="BB21" i="3"/>
  <c r="AR19" i="3"/>
  <c r="AF19" i="3"/>
  <c r="BB19" i="3"/>
  <c r="L21" i="1"/>
  <c r="BD27" i="3"/>
  <c r="F9" i="1" s="1"/>
  <c r="G30" i="1" s="1"/>
  <c r="F30" i="1" s="1"/>
  <c r="M23" i="1"/>
  <c r="L23" i="1" s="1"/>
  <c r="Q22" i="1"/>
  <c r="P22" i="1" s="1"/>
  <c r="U21" i="3"/>
  <c r="Q23" i="1" l="1"/>
  <c r="P23" i="1" s="1"/>
  <c r="M24" i="1"/>
  <c r="L24" i="1" s="1"/>
  <c r="A16" i="3"/>
  <c r="F103" i="1" s="1"/>
  <c r="M25" i="1" l="1"/>
  <c r="L25" i="1" s="1"/>
  <c r="Q24" i="1"/>
  <c r="P24" i="1" s="1"/>
  <c r="U16" i="3"/>
  <c r="AF16" i="3" s="1"/>
  <c r="AL16" i="3" s="1"/>
  <c r="BB16" i="3"/>
  <c r="Z16" i="3"/>
  <c r="U17" i="3"/>
  <c r="U18" i="3"/>
  <c r="U19" i="3"/>
  <c r="U20" i="3"/>
  <c r="AL7" i="3"/>
  <c r="AF17" i="3" l="1"/>
  <c r="AL17" i="3" s="1"/>
  <c r="AR17" i="3"/>
  <c r="B39" i="1"/>
  <c r="F39" i="1"/>
  <c r="F37" i="1"/>
  <c r="F38" i="1"/>
  <c r="B34" i="1"/>
  <c r="F34" i="1"/>
  <c r="F32" i="1"/>
  <c r="B37" i="1"/>
  <c r="B35" i="1"/>
  <c r="F35" i="1"/>
  <c r="B32" i="1"/>
  <c r="F36" i="1"/>
  <c r="B36" i="1"/>
  <c r="B38" i="1"/>
  <c r="Q25" i="1"/>
  <c r="P25" i="1" s="1"/>
  <c r="M26" i="1"/>
  <c r="L26" i="1" s="1"/>
  <c r="AR16" i="3"/>
  <c r="C18" i="3"/>
  <c r="C17" i="3"/>
  <c r="C16" i="3"/>
  <c r="C21" i="3"/>
  <c r="C20" i="3"/>
  <c r="C19" i="3"/>
  <c r="BB4" i="3"/>
  <c r="M27" i="1" l="1"/>
  <c r="L27" i="1" s="1"/>
  <c r="Q26" i="1"/>
  <c r="P26" i="1" s="1"/>
  <c r="AV32" i="3"/>
  <c r="M28" i="1" l="1"/>
  <c r="L28" i="1" s="1"/>
  <c r="Q27" i="1"/>
  <c r="P27" i="1" s="1"/>
  <c r="BD32" i="3"/>
  <c r="BD33" i="3" s="1"/>
  <c r="G9" i="1" s="1"/>
  <c r="AV33" i="3"/>
  <c r="G5" i="1" s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40" i="1"/>
  <c r="AO7" i="1"/>
  <c r="AP7" i="1"/>
  <c r="C34" i="1" l="1"/>
  <c r="G14" i="1"/>
  <c r="G15" i="1"/>
  <c r="F15" i="1" s="1"/>
  <c r="G20" i="1"/>
  <c r="F20" i="1" s="1"/>
  <c r="C20" i="1"/>
  <c r="B20" i="1" s="1"/>
  <c r="C14" i="1"/>
  <c r="C15" i="1"/>
  <c r="B15" i="1" s="1"/>
  <c r="Q28" i="1"/>
  <c r="P28" i="1" s="1"/>
  <c r="M29" i="1"/>
  <c r="L29" i="1" s="1"/>
  <c r="G36" i="1"/>
  <c r="G37" i="1"/>
  <c r="G38" i="1"/>
  <c r="G39" i="1"/>
  <c r="G34" i="1"/>
  <c r="G35" i="1"/>
  <c r="C39" i="1"/>
  <c r="C38" i="1"/>
  <c r="C36" i="1"/>
  <c r="C35" i="1"/>
  <c r="C37" i="1"/>
  <c r="M30" i="1" l="1"/>
  <c r="L30" i="1" s="1"/>
  <c r="Q29" i="1"/>
  <c r="P29" i="1" s="1"/>
  <c r="Q30" i="1" l="1"/>
  <c r="P30" i="1" s="1"/>
  <c r="C21" i="1" l="1"/>
  <c r="C22" i="1" l="1"/>
  <c r="B21" i="1"/>
  <c r="G21" i="1"/>
  <c r="F21" i="1" s="1"/>
  <c r="C23" i="1" l="1"/>
  <c r="B22" i="1"/>
  <c r="G22" i="1"/>
  <c r="F22" i="1" s="1"/>
  <c r="B23" i="1" l="1"/>
  <c r="C24" i="1"/>
  <c r="G23" i="1"/>
  <c r="F23" i="1" s="1"/>
  <c r="B24" i="1" l="1"/>
  <c r="C25" i="1"/>
  <c r="G24" i="1"/>
  <c r="F24" i="1" s="1"/>
  <c r="B25" i="1" l="1"/>
  <c r="C26" i="1"/>
  <c r="G25" i="1"/>
  <c r="F25" i="1" s="1"/>
  <c r="B26" i="1" l="1"/>
  <c r="C27" i="1"/>
  <c r="G26" i="1"/>
  <c r="F26" i="1" s="1"/>
  <c r="B27" i="1" l="1"/>
  <c r="C28" i="1"/>
  <c r="G27" i="1"/>
  <c r="F27" i="1" s="1"/>
  <c r="B28" i="1" l="1"/>
  <c r="C29" i="1"/>
  <c r="B29" i="1" s="1"/>
  <c r="G28" i="1"/>
  <c r="F28" i="1" s="1"/>
  <c r="G29" i="1" l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Garcia Oliveira</author>
  </authors>
  <commentList>
    <comment ref="J2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Neoenergia:</t>
        </r>
        <r>
          <rPr>
            <sz val="9"/>
            <color indexed="81"/>
            <rFont val="Segoe UI"/>
            <family val="2"/>
          </rPr>
          <t xml:space="preserve">
Valor mínimo para leitura de corrente de curto-circuito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Garcia Oliveira</author>
  </authors>
  <commentList>
    <comment ref="AF7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Sergio Garcia Oliveira:</t>
        </r>
        <r>
          <rPr>
            <sz val="9"/>
            <color indexed="81"/>
            <rFont val="Segoe UI"/>
            <charset val="1"/>
          </rPr>
          <t xml:space="preserve">
Deve ser especificado pelo fabricante do transformador</t>
        </r>
      </text>
    </comment>
    <comment ref="C104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Neoenergia:</t>
        </r>
        <r>
          <rPr>
            <sz val="9"/>
            <color indexed="81"/>
            <rFont val="Segoe UI"/>
            <charset val="1"/>
          </rPr>
          <t xml:space="preserve">
Impedância do(s) Transformador(es)</t>
        </r>
      </text>
    </comment>
  </commentList>
</comments>
</file>

<file path=xl/sharedStrings.xml><?xml version="1.0" encoding="utf-8"?>
<sst xmlns="http://schemas.openxmlformats.org/spreadsheetml/2006/main" count="394" uniqueCount="187">
  <si>
    <t>Alta</t>
  </si>
  <si>
    <t>Baixa</t>
  </si>
  <si>
    <t>Ipn</t>
  </si>
  <si>
    <t>Potência</t>
  </si>
  <si>
    <t>Tipo</t>
  </si>
  <si>
    <t>Demanda</t>
  </si>
  <si>
    <t>seco</t>
  </si>
  <si>
    <t>I_ANSI</t>
  </si>
  <si>
    <t>Z%</t>
  </si>
  <si>
    <t>Irush</t>
  </si>
  <si>
    <t>In</t>
  </si>
  <si>
    <t>Ip</t>
  </si>
  <si>
    <t>Consumidor</t>
  </si>
  <si>
    <t>cativo</t>
  </si>
  <si>
    <t>livre</t>
  </si>
  <si>
    <t>Variáveis de projeto</t>
  </si>
  <si>
    <t>&gt;2000kVA</t>
  </si>
  <si>
    <t>????</t>
  </si>
  <si>
    <t>Icc3F</t>
  </si>
  <si>
    <t>Icc1Fmin</t>
  </si>
  <si>
    <t>Icc1Fmax</t>
  </si>
  <si>
    <t>Min_TP</t>
  </si>
  <si>
    <t>Min_TC</t>
  </si>
  <si>
    <t>ANSI</t>
  </si>
  <si>
    <t>Duração Máx</t>
  </si>
  <si>
    <t>TC_alta</t>
  </si>
  <si>
    <t>TC_baixa</t>
  </si>
  <si>
    <t>50_alta</t>
  </si>
  <si>
    <t>50N_alta</t>
  </si>
  <si>
    <t>50_baixa</t>
  </si>
  <si>
    <t>50N_baixa</t>
  </si>
  <si>
    <t>Relação</t>
  </si>
  <si>
    <t>I_sat</t>
  </si>
  <si>
    <t>k</t>
  </si>
  <si>
    <t>Curva</t>
  </si>
  <si>
    <t>α</t>
  </si>
  <si>
    <t>Muito Inversa</t>
  </si>
  <si>
    <t>Extr. Inversa</t>
  </si>
  <si>
    <t xml:space="preserve">Potência Instalada </t>
  </si>
  <si>
    <t>Elo fusível</t>
  </si>
  <si>
    <t>15k</t>
  </si>
  <si>
    <t>25K</t>
  </si>
  <si>
    <t>15K</t>
  </si>
  <si>
    <t>Chave ou religador</t>
  </si>
  <si>
    <t>40K</t>
  </si>
  <si>
    <t>Elo</t>
  </si>
  <si>
    <t>Pot. Instalada</t>
  </si>
  <si>
    <t>Duração</t>
  </si>
  <si>
    <t>Proteção</t>
  </si>
  <si>
    <t>Relação TC's</t>
  </si>
  <si>
    <t>Condutor</t>
  </si>
  <si>
    <t>fase</t>
  </si>
  <si>
    <t>neutro</t>
  </si>
  <si>
    <t>Corrente</t>
  </si>
  <si>
    <t>Tempo</t>
  </si>
  <si>
    <t>Elo 25K Mínimo</t>
  </si>
  <si>
    <t>Elo 15K Mínimo</t>
  </si>
  <si>
    <t>I_min</t>
  </si>
  <si>
    <t>I_max</t>
  </si>
  <si>
    <t>Elo 25K</t>
  </si>
  <si>
    <t>Dial_Tempo</t>
  </si>
  <si>
    <t>RTC</t>
  </si>
  <si>
    <t>corrente</t>
  </si>
  <si>
    <t>tempo</t>
  </si>
  <si>
    <t>Valores de curto fornecidas pela Neoenergia</t>
  </si>
  <si>
    <t>Curva fase temporizado - cliente</t>
  </si>
  <si>
    <t>Curva neutro temporizado - cliente</t>
  </si>
  <si>
    <t>M - Multiplicador da curva de proteção</t>
  </si>
  <si>
    <t>Curva Instantânea de FASE- cliente</t>
  </si>
  <si>
    <t>Curva Instantânea de NEUTRO - cliente</t>
  </si>
  <si>
    <t>Elo 15K Máximo</t>
  </si>
  <si>
    <t>Elo 25K Máximo</t>
  </si>
  <si>
    <t>Elo 40K Mínimo</t>
  </si>
  <si>
    <t>Elo 40K Máximo</t>
  </si>
  <si>
    <t>Elo 65K Mínimo</t>
  </si>
  <si>
    <t>Elo 65K Máximo</t>
  </si>
  <si>
    <t>FASE</t>
  </si>
  <si>
    <t>NEUTRO</t>
  </si>
  <si>
    <t>50N - Cliente</t>
  </si>
  <si>
    <t>50 - Cliente</t>
  </si>
  <si>
    <t>51 - Cliente</t>
  </si>
  <si>
    <t>51N - Cliente</t>
  </si>
  <si>
    <t>M_Irush</t>
  </si>
  <si>
    <t>S O L I C I T A Ç Ã O  DE  A F E R I Ç Ã O  D A  G R A D U A Ç Ã O  D E  R E L É S</t>
  </si>
  <si>
    <t>Interessado:</t>
  </si>
  <si>
    <t>Data:</t>
  </si>
  <si>
    <t>Endereço:</t>
  </si>
  <si>
    <t>Fone:</t>
  </si>
  <si>
    <t>Projeto:</t>
  </si>
  <si>
    <t>Fabricante:</t>
  </si>
  <si>
    <t>Tipo:</t>
  </si>
  <si>
    <t>Modelo:</t>
  </si>
  <si>
    <t>TC:</t>
  </si>
  <si>
    <t>PEXTRON</t>
  </si>
  <si>
    <t>RELÉ DIGITAL SECUNDÁRIO</t>
  </si>
  <si>
    <t xml:space="preserve">URPE 6104 </t>
  </si>
  <si>
    <t>AJUSTE</t>
  </si>
  <si>
    <t>CORRENTE DE PARTIDA (PICK-UP) DA UNIDADE</t>
  </si>
  <si>
    <t>CURVA</t>
  </si>
  <si>
    <t>DIAL DE TEMPO</t>
  </si>
  <si>
    <t>I DEFINIDA</t>
  </si>
  <si>
    <t>INIBIDA</t>
  </si>
  <si>
    <t>T DEFINIDO</t>
  </si>
  <si>
    <t xml:space="preserve"> I INSTANTANEO</t>
  </si>
  <si>
    <t>Responsável pelas informações:</t>
  </si>
  <si>
    <t>CREA:</t>
  </si>
  <si>
    <t>RG:</t>
  </si>
  <si>
    <t>Motivo:</t>
  </si>
  <si>
    <t>OBS:</t>
  </si>
  <si>
    <t>M</t>
  </si>
  <si>
    <t>25k</t>
  </si>
  <si>
    <t>40k</t>
  </si>
  <si>
    <t>65k</t>
  </si>
  <si>
    <t>Corrente mínima</t>
  </si>
  <si>
    <t>Corrente máxima</t>
  </si>
  <si>
    <t>Elo+T</t>
  </si>
  <si>
    <t>ANSI_tabela</t>
  </si>
  <si>
    <t>ANSI_t_tabela</t>
  </si>
  <si>
    <t>51</t>
  </si>
  <si>
    <t>50</t>
  </si>
  <si>
    <t>Corrente de magnetização</t>
  </si>
  <si>
    <t>5</t>
  </si>
  <si>
    <t xml:space="preserve">Consumidor: </t>
  </si>
  <si>
    <t>Variáveis do(s) Transformador(es)</t>
  </si>
  <si>
    <t>Potência instalada:</t>
  </si>
  <si>
    <t>kW</t>
  </si>
  <si>
    <t xml:space="preserve">RTC: </t>
  </si>
  <si>
    <t>ANEXO - COORDENOGRAMA</t>
  </si>
  <si>
    <t xml:space="preserve">In: </t>
  </si>
  <si>
    <t>A</t>
  </si>
  <si>
    <t>1</t>
  </si>
  <si>
    <t>2</t>
  </si>
  <si>
    <t>3</t>
  </si>
  <si>
    <t>4</t>
  </si>
  <si>
    <t>6</t>
  </si>
  <si>
    <t>KVA</t>
  </si>
  <si>
    <t xml:space="preserve"> Curva da proteção</t>
  </si>
  <si>
    <t>Ass.:</t>
  </si>
  <si>
    <t>Corrente de curto-circuito trifásico</t>
  </si>
  <si>
    <t>Corrente de curto-circuito mínima</t>
  </si>
  <si>
    <t>Corrente de curto-circuito máxima</t>
  </si>
  <si>
    <t>Proteção a montante:</t>
  </si>
  <si>
    <t>t_ANSI_norma</t>
  </si>
  <si>
    <t>I_ANSI_norma</t>
  </si>
  <si>
    <t>%</t>
  </si>
  <si>
    <t>Quantidade:</t>
  </si>
  <si>
    <t>TAP</t>
  </si>
  <si>
    <t>DIAL</t>
  </si>
  <si>
    <t>DI</t>
  </si>
  <si>
    <t>1) INFORMAÇÕES DO CLIENTE</t>
  </si>
  <si>
    <t>(Parametros fornecidos pela Neoenergia,</t>
  </si>
  <si>
    <t>caso não haja coordenação com elo de 40k ou inferior)</t>
  </si>
  <si>
    <t>2) PARÂMETROS DE CURTO-CIRCUITO FORNECIDOS PELA NEOENERGIA BRASÍLIA</t>
  </si>
  <si>
    <t>3) TRANSFORMADORES DO CLIENTE</t>
  </si>
  <si>
    <t>4) AJUSTES DE RELÉ</t>
  </si>
  <si>
    <t>4.1) RELÉ DO CLIENTE</t>
  </si>
  <si>
    <t>4.2) RELÉ DA NEOENERGIA</t>
  </si>
  <si>
    <t>CP nº:</t>
  </si>
  <si>
    <t>óleo</t>
  </si>
  <si>
    <t>In_ANSI</t>
  </si>
  <si>
    <t>/5)</t>
  </si>
  <si>
    <t>/5 &gt; (</t>
  </si>
  <si>
    <t>Normal Inversa</t>
  </si>
  <si>
    <t>Normal inverse</t>
  </si>
  <si>
    <t>Short inverse</t>
  </si>
  <si>
    <t>Long inverse</t>
  </si>
  <si>
    <t>Very inverse</t>
  </si>
  <si>
    <t>Extreme inverse</t>
  </si>
  <si>
    <t>MIEspecial</t>
  </si>
  <si>
    <t>tr</t>
  </si>
  <si>
    <t>Parâmetros da curva do relé: t = ( k x dt ) /  (M ^ α -1)  ( IEC 255-4 / BS142 CURVES)</t>
  </si>
  <si>
    <t>RELÉ NEOENERGIA</t>
  </si>
  <si>
    <t>Curva Instantânea de FASE- Neoenergia</t>
  </si>
  <si>
    <t>Curva Instantânea de NEUTRO - Neoenergia</t>
  </si>
  <si>
    <t>Curva fase temporizado - Neoenergia</t>
  </si>
  <si>
    <t>Curva neutro temporizado - Neoenergia</t>
  </si>
  <si>
    <t>I_instantaneo</t>
  </si>
  <si>
    <t>50 - Relé Neoenergia</t>
  </si>
  <si>
    <t>51 - Relé Neoenergia</t>
  </si>
  <si>
    <t>50N - Relé Neoenergia</t>
  </si>
  <si>
    <t>51N - Relé Neoenergia</t>
  </si>
  <si>
    <t>Neutro</t>
  </si>
  <si>
    <t>Fase</t>
  </si>
  <si>
    <t>RELÉ CLIENTE</t>
  </si>
  <si>
    <t>CONSTANTES DE PROJETO</t>
  </si>
  <si>
    <t>s</t>
  </si>
  <si>
    <t>Demanda contratada: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</si>
</sst>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theme="9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2" fontId="0" fillId="0" borderId="0" xfId="0" applyNumberFormat="1"/>
    <xf numFmtId="165" fontId="0" fillId="0" borderId="0" xfId="0" applyNumberFormat="1"/>
    <xf numFmtId="0" fontId="0" fillId="0" borderId="0" xfId="0" applyFill="1"/>
    <xf numFmtId="0" fontId="0" fillId="2" borderId="0" xfId="0" applyFill="1"/>
    <xf numFmtId="2" fontId="5" fillId="0" borderId="0" xfId="0" applyNumberFormat="1" applyFont="1"/>
    <xf numFmtId="0" fontId="0" fillId="0" borderId="0" xfId="0"/>
    <xf numFmtId="0" fontId="0" fillId="0" borderId="0" xfId="0" applyFill="1"/>
    <xf numFmtId="165" fontId="5" fillId="0" borderId="0" xfId="0" applyNumberFormat="1" applyFont="1"/>
    <xf numFmtId="0" fontId="0" fillId="0" borderId="0" xfId="0"/>
    <xf numFmtId="0" fontId="0" fillId="0" borderId="0" xfId="0" applyFill="1"/>
    <xf numFmtId="2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Border="1"/>
    <xf numFmtId="165" fontId="0" fillId="0" borderId="0" xfId="0" applyNumberFormat="1" applyFont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7" fillId="0" borderId="0" xfId="0" applyFont="1"/>
    <xf numFmtId="0" fontId="0" fillId="3" borderId="11" xfId="0" applyFill="1" applyBorder="1" applyAlignment="1"/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12" xfId="0" applyBorder="1" applyAlignment="1"/>
    <xf numFmtId="0" fontId="0" fillId="0" borderId="11" xfId="0" applyBorder="1" applyAlignment="1"/>
    <xf numFmtId="0" fontId="0" fillId="0" borderId="13" xfId="0" applyBorder="1" applyAlignment="1"/>
    <xf numFmtId="0" fontId="0" fillId="0" borderId="11" xfId="0" quotePrefix="1" applyBorder="1" applyAlignment="1"/>
    <xf numFmtId="0" fontId="0" fillId="0" borderId="11" xfId="0" applyFill="1" applyBorder="1"/>
    <xf numFmtId="0" fontId="0" fillId="0" borderId="0" xfId="0" applyFill="1" applyBorder="1"/>
    <xf numFmtId="0" fontId="0" fillId="3" borderId="0" xfId="0" applyFill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Fill="1" applyBorder="1"/>
    <xf numFmtId="0" fontId="0" fillId="0" borderId="0" xfId="0" applyFont="1" applyFill="1" applyBorder="1"/>
    <xf numFmtId="2" fontId="0" fillId="0" borderId="0" xfId="0" applyNumberFormat="1" applyBorder="1"/>
    <xf numFmtId="0" fontId="7" fillId="0" borderId="3" xfId="0" applyFont="1" applyBorder="1"/>
    <xf numFmtId="0" fontId="7" fillId="0" borderId="12" xfId="0" applyFont="1" applyBorder="1"/>
    <xf numFmtId="0" fontId="7" fillId="0" borderId="8" xfId="0" applyFont="1" applyBorder="1"/>
    <xf numFmtId="0" fontId="7" fillId="0" borderId="12" xfId="0" applyFont="1" applyFill="1" applyBorder="1"/>
    <xf numFmtId="0" fontId="7" fillId="0" borderId="4" xfId="0" applyFont="1" applyBorder="1"/>
    <xf numFmtId="0" fontId="7" fillId="0" borderId="11" xfId="0" applyFont="1" applyBorder="1"/>
    <xf numFmtId="0" fontId="7" fillId="0" borderId="0" xfId="0" applyFont="1" applyBorder="1"/>
    <xf numFmtId="0" fontId="7" fillId="0" borderId="9" xfId="0" applyFont="1" applyBorder="1"/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0" xfId="0" applyNumberFormat="1" applyFill="1"/>
    <xf numFmtId="0" fontId="0" fillId="0" borderId="0" xfId="0" applyFont="1"/>
    <xf numFmtId="0" fontId="0" fillId="0" borderId="11" xfId="0" quotePrefix="1" applyFill="1" applyBorder="1" applyAlignment="1"/>
    <xf numFmtId="0" fontId="10" fillId="0" borderId="5" xfId="0" applyFont="1" applyFill="1" applyBorder="1"/>
    <xf numFmtId="0" fontId="10" fillId="0" borderId="7" xfId="0" applyFont="1" applyFill="1" applyBorder="1"/>
    <xf numFmtId="0" fontId="10" fillId="0" borderId="10" xfId="0" applyFont="1" applyFill="1" applyBorder="1"/>
    <xf numFmtId="0" fontId="10" fillId="0" borderId="11" xfId="0" applyFont="1" applyBorder="1"/>
    <xf numFmtId="0" fontId="10" fillId="0" borderId="7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0" fillId="0" borderId="18" xfId="0" applyFont="1" applyFill="1" applyBorder="1" applyAlignment="1">
      <alignment horizontal="left"/>
    </xf>
    <xf numFmtId="0" fontId="0" fillId="3" borderId="13" xfId="0" applyFill="1" applyBorder="1" applyAlignment="1"/>
    <xf numFmtId="0" fontId="0" fillId="0" borderId="0" xfId="0" quotePrefix="1"/>
    <xf numFmtId="0" fontId="0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7" fillId="0" borderId="23" xfId="0" applyFont="1" applyBorder="1"/>
    <xf numFmtId="0" fontId="3" fillId="4" borderId="0" xfId="0" applyFont="1" applyFill="1" applyBorder="1"/>
    <xf numFmtId="2" fontId="0" fillId="0" borderId="21" xfId="0" applyNumberFormat="1" applyFont="1" applyBorder="1"/>
    <xf numFmtId="0" fontId="9" fillId="0" borderId="4" xfId="0" applyFont="1" applyBorder="1"/>
    <xf numFmtId="0" fontId="0" fillId="0" borderId="22" xfId="0" applyFill="1" applyBorder="1"/>
    <xf numFmtId="0" fontId="0" fillId="0" borderId="25" xfId="0" applyFill="1" applyBorder="1"/>
    <xf numFmtId="0" fontId="10" fillId="0" borderId="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2" fontId="0" fillId="0" borderId="16" xfId="0" quotePrefix="1" applyNumberFormat="1" applyBorder="1" applyAlignment="1">
      <alignment horizontal="center"/>
    </xf>
    <xf numFmtId="2" fontId="0" fillId="0" borderId="17" xfId="0" quotePrefix="1" applyNumberFormat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20" xfId="0" quotePrefix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2" fontId="0" fillId="0" borderId="15" xfId="0" quotePrefix="1" applyNumberFormat="1" applyBorder="1" applyAlignment="1">
      <alignment horizontal="center"/>
    </xf>
    <xf numFmtId="49" fontId="0" fillId="3" borderId="11" xfId="0" applyNumberFormat="1" applyFill="1" applyBorder="1" applyAlignment="1">
      <alignment horizontal="left"/>
    </xf>
    <xf numFmtId="49" fontId="0" fillId="3" borderId="13" xfId="0" applyNumberForma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13" xfId="0" applyNumberFormat="1" applyBorder="1" applyAlignment="1">
      <alignment horizontal="left"/>
    </xf>
    <xf numFmtId="0" fontId="0" fillId="3" borderId="4" xfId="0" quotePrefix="1" applyFill="1" applyBorder="1" applyAlignment="1">
      <alignment horizontal="left"/>
    </xf>
    <xf numFmtId="0" fontId="0" fillId="3" borderId="11" xfId="0" quotePrefix="1" applyFill="1" applyBorder="1" applyAlignment="1">
      <alignment horizontal="left"/>
    </xf>
    <xf numFmtId="165" fontId="0" fillId="0" borderId="11" xfId="0" quotePrefix="1" applyNumberForma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3" borderId="0" xfId="0" quotePrefix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5" fontId="0" fillId="0" borderId="6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center"/>
    </xf>
    <xf numFmtId="165" fontId="0" fillId="0" borderId="16" xfId="0" quotePrefix="1" applyNumberFormat="1" applyBorder="1" applyAlignment="1">
      <alignment horizontal="center"/>
    </xf>
    <xf numFmtId="165" fontId="0" fillId="0" borderId="17" xfId="0" quotePrefix="1" applyNumberForma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5" fontId="0" fillId="0" borderId="12" xfId="0" quotePrefix="1" applyNumberFormat="1" applyFill="1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0" fontId="0" fillId="0" borderId="13" xfId="0" quotePrefix="1" applyFill="1" applyBorder="1" applyAlignment="1">
      <alignment horizontal="center"/>
    </xf>
    <xf numFmtId="2" fontId="0" fillId="0" borderId="12" xfId="0" quotePrefix="1" applyNumberFormat="1" applyFill="1" applyBorder="1" applyAlignment="1">
      <alignment horizontal="center"/>
    </xf>
    <xf numFmtId="2" fontId="0" fillId="0" borderId="11" xfId="0" quotePrefix="1" applyNumberFormat="1" applyFill="1" applyBorder="1" applyAlignment="1">
      <alignment horizontal="center"/>
    </xf>
    <xf numFmtId="2" fontId="0" fillId="0" borderId="13" xfId="0" quotePrefix="1" applyNumberFormat="1" applyFill="1" applyBorder="1" applyAlignment="1">
      <alignment horizontal="center"/>
    </xf>
    <xf numFmtId="165" fontId="0" fillId="0" borderId="11" xfId="0" quotePrefix="1" applyNumberFormat="1" applyFill="1" applyBorder="1" applyAlignment="1">
      <alignment horizontal="center"/>
    </xf>
    <xf numFmtId="165" fontId="0" fillId="0" borderId="13" xfId="0" quotePrefix="1" applyNumberForma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2" fontId="8" fillId="0" borderId="12" xfId="0" quotePrefix="1" applyNumberFormat="1" applyFont="1" applyBorder="1" applyAlignment="1">
      <alignment horizontal="center"/>
    </xf>
    <xf numFmtId="2" fontId="8" fillId="0" borderId="11" xfId="0" quotePrefix="1" applyNumberFormat="1" applyFont="1" applyBorder="1" applyAlignment="1">
      <alignment horizontal="center"/>
    </xf>
    <xf numFmtId="2" fontId="8" fillId="0" borderId="13" xfId="0" quotePrefix="1" applyNumberFormat="1" applyFont="1" applyBorder="1" applyAlignment="1">
      <alignment horizontal="center"/>
    </xf>
    <xf numFmtId="0" fontId="0" fillId="3" borderId="12" xfId="0" quotePrefix="1" applyFill="1" applyBorder="1" applyAlignment="1">
      <alignment horizontal="center"/>
    </xf>
    <xf numFmtId="0" fontId="0" fillId="3" borderId="11" xfId="0" quotePrefix="1" applyFill="1" applyBorder="1" applyAlignment="1">
      <alignment horizontal="center"/>
    </xf>
    <xf numFmtId="0" fontId="0" fillId="3" borderId="13" xfId="0" quotePrefix="1" applyFill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0" fillId="0" borderId="11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2" fontId="0" fillId="0" borderId="4" xfId="0" quotePrefix="1" applyNumberFormat="1" applyBorder="1"/>
    <xf numFmtId="2" fontId="0" fillId="0" borderId="17" xfId="0" quotePrefix="1" applyNumberFormat="1" applyBorder="1"/>
    <xf numFmtId="2" fontId="0" fillId="0" borderId="9" xfId="0" quotePrefix="1" applyNumberFormat="1" applyBorder="1"/>
    <xf numFmtId="0" fontId="0" fillId="0" borderId="30" xfId="0" applyBorder="1" applyAlignment="1">
      <alignment horizontal="center"/>
    </xf>
    <xf numFmtId="0" fontId="0" fillId="3" borderId="30" xfId="0" quotePrefix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</cellXfs>
  <cellStyles count="1">
    <cellStyle name="Normal" xfId="0" builtinId="0"/>
  </cellStyles>
  <dxfs count="89">
    <dxf>
      <numFmt numFmtId="166" formatCode="&quot;!&quot;#&quot;!&quot;"/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</dxf>
    <dxf>
      <numFmt numFmtId="165" formatCode="0.0"/>
    </dxf>
    <dxf>
      <numFmt numFmtId="165" formatCode="0.0"/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rgb="FFFFFF00"/>
        </patternFill>
      </fill>
    </dxf>
    <dxf>
      <numFmt numFmtId="2" formatCode="0.00"/>
    </dxf>
    <dxf>
      <numFmt numFmtId="2" formatCode="0.00"/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general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mruColors>
      <color rgb="FFD1CC00"/>
      <color rgb="FFE6E6E6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Coordenograma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'2.Tabelas'!$B$12</c:f>
              <c:strCache>
                <c:ptCount val="1"/>
                <c:pt idx="0">
                  <c:v>50 - Cliente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'2.Tabelas'!$C$14:$C$15</c:f>
              <c:numCache>
                <c:formatCode>0.00</c:formatCode>
                <c:ptCount val="2"/>
                <c:pt idx="0">
                  <c:v>175.71529931858174</c:v>
                </c:pt>
                <c:pt idx="1">
                  <c:v>175.71529931858174</c:v>
                </c:pt>
              </c:numCache>
            </c:numRef>
          </c:xVal>
          <c:yVal>
            <c:numRef>
              <c:f>'2.Tabelas'!$B$14:$B$15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0.40176899063475552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96-40BA-8B3E-3D527CC0FC0D}"/>
            </c:ext>
          </c:extLst>
        </c:ser>
        <c:ser>
          <c:idx val="1"/>
          <c:order val="1"/>
          <c:tx>
            <c:strRef>
              <c:f>'2.Tabelas'!$B$18</c:f>
              <c:strCache>
                <c:ptCount val="1"/>
                <c:pt idx="0">
                  <c:v>51 - Cliente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'2.Tabelas'!$C$20:$C$30</c:f>
              <c:numCache>
                <c:formatCode>0.00</c:formatCode>
                <c:ptCount val="11"/>
                <c:pt idx="0">
                  <c:v>175.71529931858174</c:v>
                </c:pt>
                <c:pt idx="1">
                  <c:v>144.60574310148158</c:v>
                </c:pt>
                <c:pt idx="2">
                  <c:v>119.00398553241047</c:v>
                </c:pt>
                <c:pt idx="3">
                  <c:v>97.934897113039099</c:v>
                </c:pt>
                <c:pt idx="4">
                  <c:v>80.595990374871946</c:v>
                </c:pt>
                <c:pt idx="5">
                  <c:v>66.326854430744163</c:v>
                </c:pt>
                <c:pt idx="6">
                  <c:v>54.584000993289074</c:v>
                </c:pt>
                <c:pt idx="7">
                  <c:v>44.920163785942329</c:v>
                </c:pt>
                <c:pt idx="8">
                  <c:v>36.96726289456079</c:v>
                </c:pt>
                <c:pt idx="9">
                  <c:v>30.422385199388764</c:v>
                </c:pt>
                <c:pt idx="10">
                  <c:v>25.036246904721839</c:v>
                </c:pt>
              </c:numCache>
            </c:numRef>
          </c:xVal>
          <c:yVal>
            <c:numRef>
              <c:f>'2.Tabelas'!$B$20:$B$30</c:f>
              <c:numCache>
                <c:formatCode>0.00</c:formatCode>
                <c:ptCount val="11"/>
                <c:pt idx="0">
                  <c:v>0.40176899063475552</c:v>
                </c:pt>
                <c:pt idx="1">
                  <c:v>0.5043485121442578</c:v>
                </c:pt>
                <c:pt idx="2">
                  <c:v>0.63851002239912424</c:v>
                </c:pt>
                <c:pt idx="3">
                  <c:v>0.81746423189018669</c:v>
                </c:pt>
                <c:pt idx="4">
                  <c:v>1.0625363918942428</c:v>
                </c:pt>
                <c:pt idx="5">
                  <c:v>1.4105430252119642</c:v>
                </c:pt>
                <c:pt idx="6">
                  <c:v>1.9310280780892479</c:v>
                </c:pt>
                <c:pt idx="7">
                  <c:v>2.7731396341730372</c:v>
                </c:pt>
                <c:pt idx="8">
                  <c:v>4.3255043137170501</c:v>
                </c:pt>
                <c:pt idx="9">
                  <c:v>8.0202710592633331</c:v>
                </c:pt>
                <c:pt idx="10">
                  <c:v>26.999999999999979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96-40BA-8B3E-3D527CC0FC0D}"/>
            </c:ext>
          </c:extLst>
        </c:ser>
        <c:ser>
          <c:idx val="3"/>
          <c:order val="2"/>
          <c:tx>
            <c:strRef>
              <c:f>'2.Tabelas'!$F$12</c:f>
              <c:strCache>
                <c:ptCount val="1"/>
                <c:pt idx="0">
                  <c:v>50N - Cliente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'2.Tabelas'!$G$14:$G$15</c:f>
              <c:numCache>
                <c:formatCode>0.00</c:formatCode>
                <c:ptCount val="2"/>
                <c:pt idx="0">
                  <c:v>58.571766439527252</c:v>
                </c:pt>
                <c:pt idx="1">
                  <c:v>58.571766439527252</c:v>
                </c:pt>
              </c:numCache>
            </c:numRef>
          </c:xVal>
          <c:yVal>
            <c:numRef>
              <c:f>'2.Tabelas'!$F$14:$F$15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0.40176899063475546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96-40BA-8B3E-3D527CC0FC0D}"/>
            </c:ext>
          </c:extLst>
        </c:ser>
        <c:ser>
          <c:idx val="0"/>
          <c:order val="3"/>
          <c:tx>
            <c:strRef>
              <c:f>'2.Tabelas'!$F$18</c:f>
              <c:strCache>
                <c:ptCount val="1"/>
                <c:pt idx="0">
                  <c:v>51N - Cliente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'2.Tabelas'!$G$20:$G$30</c:f>
              <c:numCache>
                <c:formatCode>0.00</c:formatCode>
                <c:ptCount val="11"/>
                <c:pt idx="0">
                  <c:v>58.571766439527252</c:v>
                </c:pt>
                <c:pt idx="1">
                  <c:v>48.201914367160526</c:v>
                </c:pt>
                <c:pt idx="2">
                  <c:v>39.667995177470161</c:v>
                </c:pt>
                <c:pt idx="3">
                  <c:v>32.644965704346369</c:v>
                </c:pt>
                <c:pt idx="4">
                  <c:v>26.865330124957318</c:v>
                </c:pt>
                <c:pt idx="5">
                  <c:v>22.108951476914715</c:v>
                </c:pt>
                <c:pt idx="6">
                  <c:v>18.194666997763019</c:v>
                </c:pt>
                <c:pt idx="7">
                  <c:v>14.973387928647437</c:v>
                </c:pt>
                <c:pt idx="8">
                  <c:v>12.322420964853587</c:v>
                </c:pt>
                <c:pt idx="9">
                  <c:v>10.140795066462914</c:v>
                </c:pt>
                <c:pt idx="10">
                  <c:v>8.3454156349072797</c:v>
                </c:pt>
              </c:numCache>
            </c:numRef>
          </c:xVal>
          <c:yVal>
            <c:numRef>
              <c:f>'2.Tabelas'!$F$20:$F$30</c:f>
              <c:numCache>
                <c:formatCode>0.00</c:formatCode>
                <c:ptCount val="11"/>
                <c:pt idx="0">
                  <c:v>0.40176899063475546</c:v>
                </c:pt>
                <c:pt idx="1">
                  <c:v>0.5043485121442578</c:v>
                </c:pt>
                <c:pt idx="2">
                  <c:v>0.63851002239912413</c:v>
                </c:pt>
                <c:pt idx="3">
                  <c:v>0.81746423189018669</c:v>
                </c:pt>
                <c:pt idx="4">
                  <c:v>1.0625363918942425</c:v>
                </c:pt>
                <c:pt idx="5">
                  <c:v>1.4105430252119644</c:v>
                </c:pt>
                <c:pt idx="6">
                  <c:v>1.9310280780892493</c:v>
                </c:pt>
                <c:pt idx="7">
                  <c:v>2.773139634173039</c:v>
                </c:pt>
                <c:pt idx="8">
                  <c:v>4.3255043137170572</c:v>
                </c:pt>
                <c:pt idx="9">
                  <c:v>8.0202710592633544</c:v>
                </c:pt>
                <c:pt idx="10">
                  <c:v>26.999999999999979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96-40BA-8B3E-3D527CC0FC0D}"/>
            </c:ext>
          </c:extLst>
        </c:ser>
        <c:ser>
          <c:idx val="4"/>
          <c:order val="4"/>
          <c:tx>
            <c:strRef>
              <c:f>'2.Tabelas'!$B$32</c:f>
              <c:strCache>
                <c:ptCount val="1"/>
                <c:pt idx="0">
                  <c:v>Elo Mín. de 40K</c:v>
                </c:pt>
              </c:strCache>
            </c:strRef>
          </c:tx>
          <c:spPr>
            <a:ln w="28575" cap="rnd">
              <a:solidFill>
                <a:srgbClr val="D1CC00"/>
              </a:solidFill>
              <a:round/>
            </a:ln>
            <a:effectLst/>
          </c:spPr>
          <c:marker>
            <c:symbol val="none"/>
          </c:marker>
          <c:xVal>
            <c:numRef>
              <c:f>'2.Tabelas'!$C$34:$C$39</c:f>
              <c:numCache>
                <c:formatCode>General</c:formatCode>
                <c:ptCount val="6"/>
                <c:pt idx="0">
                  <c:v>89</c:v>
                </c:pt>
                <c:pt idx="1">
                  <c:v>110</c:v>
                </c:pt>
                <c:pt idx="2">
                  <c:v>180</c:v>
                </c:pt>
                <c:pt idx="3">
                  <c:v>500</c:v>
                </c:pt>
                <c:pt idx="4">
                  <c:v>900</c:v>
                </c:pt>
                <c:pt idx="5">
                  <c:v>1500</c:v>
                </c:pt>
              </c:numCache>
            </c:numRef>
          </c:xVal>
          <c:yVal>
            <c:numRef>
              <c:f>'2.Tabelas'!$D$34:$D$39</c:f>
              <c:numCache>
                <c:formatCode>General</c:formatCode>
                <c:ptCount val="6"/>
                <c:pt idx="0">
                  <c:v>100</c:v>
                </c:pt>
                <c:pt idx="1">
                  <c:v>10</c:v>
                </c:pt>
                <c:pt idx="2">
                  <c:v>1</c:v>
                </c:pt>
                <c:pt idx="3">
                  <c:v>0.1</c:v>
                </c:pt>
                <c:pt idx="4">
                  <c:v>0.03</c:v>
                </c:pt>
                <c:pt idx="5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D96-40BA-8B3E-3D527CC0FC0D}"/>
            </c:ext>
          </c:extLst>
        </c:ser>
        <c:ser>
          <c:idx val="5"/>
          <c:order val="5"/>
          <c:tx>
            <c:strRef>
              <c:f>'2.Tabelas'!$F$32</c:f>
              <c:strCache>
                <c:ptCount val="1"/>
                <c:pt idx="0">
                  <c:v>Elo Máx. de 40K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'2.Tabelas'!$G$34:$G$39</c:f>
              <c:numCache>
                <c:formatCode>General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270</c:v>
                </c:pt>
                <c:pt idx="3">
                  <c:v>650</c:v>
                </c:pt>
                <c:pt idx="4">
                  <c:v>1350</c:v>
                </c:pt>
                <c:pt idx="5">
                  <c:v>3000</c:v>
                </c:pt>
              </c:numCache>
            </c:numRef>
          </c:xVal>
          <c:yVal>
            <c:numRef>
              <c:f>'2.Tabelas'!$H$33:$H$39</c:f>
              <c:numCache>
                <c:formatCode>General</c:formatCode>
                <c:ptCount val="7"/>
                <c:pt idx="0">
                  <c:v>0</c:v>
                </c:pt>
                <c:pt idx="1">
                  <c:v>100</c:v>
                </c:pt>
                <c:pt idx="2">
                  <c:v>10</c:v>
                </c:pt>
                <c:pt idx="3">
                  <c:v>1</c:v>
                </c:pt>
                <c:pt idx="4">
                  <c:v>0.1</c:v>
                </c:pt>
                <c:pt idx="5">
                  <c:v>0.03</c:v>
                </c:pt>
                <c:pt idx="6">
                  <c:v>1.4999999999999999E-2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D96-40BA-8B3E-3D527CC0FC0D}"/>
            </c:ext>
          </c:extLst>
        </c:ser>
        <c:ser>
          <c:idx val="6"/>
          <c:order val="6"/>
          <c:tx>
            <c:strRef>
              <c:f>'2.Tabelas'!$L$13</c:f>
              <c:strCache>
                <c:ptCount val="1"/>
                <c:pt idx="0">
                  <c:v>50 - Relé Neoenergia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'2.Tabelas'!$M$15:$M$16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'2.Tabelas'!$L$15:$L$16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D96-40BA-8B3E-3D527CC0FC0D}"/>
            </c:ext>
          </c:extLst>
        </c:ser>
        <c:ser>
          <c:idx val="8"/>
          <c:order val="7"/>
          <c:tx>
            <c:strRef>
              <c:f>'2.Tabelas'!$L$19</c:f>
              <c:strCache>
                <c:ptCount val="1"/>
                <c:pt idx="0">
                  <c:v>51 - Relé Neoenergia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'2.Tabelas'!$M$21:$M$31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'2.Tabelas'!$L$21:$L$31</c:f>
              <c:numCache>
                <c:formatCode>0.00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D96-40BA-8B3E-3D527CC0FC0D}"/>
            </c:ext>
          </c:extLst>
        </c:ser>
        <c:ser>
          <c:idx val="7"/>
          <c:order val="8"/>
          <c:tx>
            <c:strRef>
              <c:f>'2.Tabelas'!$P$13</c:f>
              <c:strCache>
                <c:ptCount val="1"/>
                <c:pt idx="0">
                  <c:v>50N - Relé Neoenergia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'2.Tabelas'!$Q$15:$Q$16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'2.Tabelas'!$P$15:$P$16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D96-40BA-8B3E-3D527CC0FC0D}"/>
            </c:ext>
          </c:extLst>
        </c:ser>
        <c:ser>
          <c:idx val="9"/>
          <c:order val="9"/>
          <c:tx>
            <c:strRef>
              <c:f>'2.Tabelas'!$P$19</c:f>
              <c:strCache>
                <c:ptCount val="1"/>
                <c:pt idx="0">
                  <c:v>51N - Relé Neoenergia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'2.Tabelas'!$Q$21:$Q$31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'2.Tabelas'!$P$21:$P$31</c:f>
              <c:numCache>
                <c:formatCode>0.00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D96-40BA-8B3E-3D527CC0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068344"/>
        <c:axId val="432069000"/>
      </c:scatterChart>
      <c:valAx>
        <c:axId val="43206834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Corrente</a:t>
                </a:r>
                <a:r>
                  <a:rPr lang="pt-BR" baseline="0"/>
                  <a:t> (A)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069000"/>
        <c:crossesAt val="1.0000000000000002E-2"/>
        <c:crossBetween val="midCat"/>
      </c:valAx>
      <c:valAx>
        <c:axId val="4320690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Tempo</a:t>
                </a:r>
                <a:r>
                  <a:rPr lang="pt-BR" baseline="0"/>
                  <a:t> de Atuação (s)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068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Coordenograma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'2.Tabelas'!$B$12</c:f>
              <c:strCache>
                <c:ptCount val="1"/>
                <c:pt idx="0">
                  <c:v>50 - Cliente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'2.Tabelas'!$C$14:$C$15</c:f>
              <c:numCache>
                <c:formatCode>0.00</c:formatCode>
                <c:ptCount val="2"/>
                <c:pt idx="0">
                  <c:v>175.71529931858174</c:v>
                </c:pt>
                <c:pt idx="1">
                  <c:v>175.71529931858174</c:v>
                </c:pt>
              </c:numCache>
            </c:numRef>
          </c:xVal>
          <c:yVal>
            <c:numRef>
              <c:f>'2.Tabelas'!$B$14:$B$15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0.40176899063475552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2B-438F-B807-0078BFE75118}"/>
            </c:ext>
          </c:extLst>
        </c:ser>
        <c:ser>
          <c:idx val="1"/>
          <c:order val="1"/>
          <c:tx>
            <c:strRef>
              <c:f>'2.Tabelas'!$B$18</c:f>
              <c:strCache>
                <c:ptCount val="1"/>
                <c:pt idx="0">
                  <c:v>51 - Cliente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'2.Tabelas'!$C$20:$C$30</c:f>
              <c:numCache>
                <c:formatCode>0.00</c:formatCode>
                <c:ptCount val="11"/>
                <c:pt idx="0">
                  <c:v>175.71529931858174</c:v>
                </c:pt>
                <c:pt idx="1">
                  <c:v>144.60574310148158</c:v>
                </c:pt>
                <c:pt idx="2">
                  <c:v>119.00398553241047</c:v>
                </c:pt>
                <c:pt idx="3">
                  <c:v>97.934897113039099</c:v>
                </c:pt>
                <c:pt idx="4">
                  <c:v>80.595990374871946</c:v>
                </c:pt>
                <c:pt idx="5">
                  <c:v>66.326854430744163</c:v>
                </c:pt>
                <c:pt idx="6">
                  <c:v>54.584000993289074</c:v>
                </c:pt>
                <c:pt idx="7">
                  <c:v>44.920163785942329</c:v>
                </c:pt>
                <c:pt idx="8">
                  <c:v>36.96726289456079</c:v>
                </c:pt>
                <c:pt idx="9">
                  <c:v>30.422385199388764</c:v>
                </c:pt>
                <c:pt idx="10">
                  <c:v>25.036246904721839</c:v>
                </c:pt>
              </c:numCache>
            </c:numRef>
          </c:xVal>
          <c:yVal>
            <c:numRef>
              <c:f>'2.Tabelas'!$B$20:$B$30</c:f>
              <c:numCache>
                <c:formatCode>0.00</c:formatCode>
                <c:ptCount val="11"/>
                <c:pt idx="0">
                  <c:v>0.40176899063475552</c:v>
                </c:pt>
                <c:pt idx="1">
                  <c:v>0.5043485121442578</c:v>
                </c:pt>
                <c:pt idx="2">
                  <c:v>0.63851002239912424</c:v>
                </c:pt>
                <c:pt idx="3">
                  <c:v>0.81746423189018669</c:v>
                </c:pt>
                <c:pt idx="4">
                  <c:v>1.0625363918942428</c:v>
                </c:pt>
                <c:pt idx="5">
                  <c:v>1.4105430252119642</c:v>
                </c:pt>
                <c:pt idx="6">
                  <c:v>1.9310280780892479</c:v>
                </c:pt>
                <c:pt idx="7">
                  <c:v>2.7731396341730372</c:v>
                </c:pt>
                <c:pt idx="8">
                  <c:v>4.3255043137170501</c:v>
                </c:pt>
                <c:pt idx="9">
                  <c:v>8.0202710592633331</c:v>
                </c:pt>
                <c:pt idx="10">
                  <c:v>26.999999999999979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2B-438F-B807-0078BFE75118}"/>
            </c:ext>
          </c:extLst>
        </c:ser>
        <c:ser>
          <c:idx val="3"/>
          <c:order val="2"/>
          <c:tx>
            <c:strRef>
              <c:f>'2.Tabelas'!$F$12</c:f>
              <c:strCache>
                <c:ptCount val="1"/>
                <c:pt idx="0">
                  <c:v>50N - Cliente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'2.Tabelas'!$G$14:$G$15</c:f>
              <c:numCache>
                <c:formatCode>0.00</c:formatCode>
                <c:ptCount val="2"/>
                <c:pt idx="0">
                  <c:v>58.571766439527252</c:v>
                </c:pt>
                <c:pt idx="1">
                  <c:v>58.571766439527252</c:v>
                </c:pt>
              </c:numCache>
            </c:numRef>
          </c:xVal>
          <c:yVal>
            <c:numRef>
              <c:f>'2.Tabelas'!$F$14:$F$15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0.40176899063475546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2B-438F-B807-0078BFE75118}"/>
            </c:ext>
          </c:extLst>
        </c:ser>
        <c:ser>
          <c:idx val="0"/>
          <c:order val="3"/>
          <c:tx>
            <c:strRef>
              <c:f>'2.Tabelas'!$F$18</c:f>
              <c:strCache>
                <c:ptCount val="1"/>
                <c:pt idx="0">
                  <c:v>51N - Cliente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'2.Tabelas'!$G$20:$G$30</c:f>
              <c:numCache>
                <c:formatCode>0.00</c:formatCode>
                <c:ptCount val="11"/>
                <c:pt idx="0">
                  <c:v>58.571766439527252</c:v>
                </c:pt>
                <c:pt idx="1">
                  <c:v>48.201914367160526</c:v>
                </c:pt>
                <c:pt idx="2">
                  <c:v>39.667995177470161</c:v>
                </c:pt>
                <c:pt idx="3">
                  <c:v>32.644965704346369</c:v>
                </c:pt>
                <c:pt idx="4">
                  <c:v>26.865330124957318</c:v>
                </c:pt>
                <c:pt idx="5">
                  <c:v>22.108951476914715</c:v>
                </c:pt>
                <c:pt idx="6">
                  <c:v>18.194666997763019</c:v>
                </c:pt>
                <c:pt idx="7">
                  <c:v>14.973387928647437</c:v>
                </c:pt>
                <c:pt idx="8">
                  <c:v>12.322420964853587</c:v>
                </c:pt>
                <c:pt idx="9">
                  <c:v>10.140795066462914</c:v>
                </c:pt>
                <c:pt idx="10">
                  <c:v>8.3454156349072797</c:v>
                </c:pt>
              </c:numCache>
            </c:numRef>
          </c:xVal>
          <c:yVal>
            <c:numRef>
              <c:f>'2.Tabelas'!$F$20:$F$30</c:f>
              <c:numCache>
                <c:formatCode>0.00</c:formatCode>
                <c:ptCount val="11"/>
                <c:pt idx="0">
                  <c:v>0.40176899063475546</c:v>
                </c:pt>
                <c:pt idx="1">
                  <c:v>0.5043485121442578</c:v>
                </c:pt>
                <c:pt idx="2">
                  <c:v>0.63851002239912413</c:v>
                </c:pt>
                <c:pt idx="3">
                  <c:v>0.81746423189018669</c:v>
                </c:pt>
                <c:pt idx="4">
                  <c:v>1.0625363918942425</c:v>
                </c:pt>
                <c:pt idx="5">
                  <c:v>1.4105430252119644</c:v>
                </c:pt>
                <c:pt idx="6">
                  <c:v>1.9310280780892493</c:v>
                </c:pt>
                <c:pt idx="7">
                  <c:v>2.773139634173039</c:v>
                </c:pt>
                <c:pt idx="8">
                  <c:v>4.3255043137170572</c:v>
                </c:pt>
                <c:pt idx="9">
                  <c:v>8.0202710592633544</c:v>
                </c:pt>
                <c:pt idx="10">
                  <c:v>26.999999999999979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2B-438F-B807-0078BFE75118}"/>
            </c:ext>
          </c:extLst>
        </c:ser>
        <c:ser>
          <c:idx val="4"/>
          <c:order val="4"/>
          <c:tx>
            <c:strRef>
              <c:f>'2.Tabelas'!$B$32</c:f>
              <c:strCache>
                <c:ptCount val="1"/>
                <c:pt idx="0">
                  <c:v>Elo Mín. de 40K</c:v>
                </c:pt>
              </c:strCache>
            </c:strRef>
          </c:tx>
          <c:spPr>
            <a:ln w="28575" cap="rnd">
              <a:solidFill>
                <a:srgbClr val="D1CC00"/>
              </a:solidFill>
              <a:round/>
            </a:ln>
            <a:effectLst/>
          </c:spPr>
          <c:marker>
            <c:symbol val="none"/>
          </c:marker>
          <c:xVal>
            <c:numRef>
              <c:f>'2.Tabelas'!$C$34:$C$39</c:f>
              <c:numCache>
                <c:formatCode>General</c:formatCode>
                <c:ptCount val="6"/>
                <c:pt idx="0">
                  <c:v>89</c:v>
                </c:pt>
                <c:pt idx="1">
                  <c:v>110</c:v>
                </c:pt>
                <c:pt idx="2">
                  <c:v>180</c:v>
                </c:pt>
                <c:pt idx="3">
                  <c:v>500</c:v>
                </c:pt>
                <c:pt idx="4">
                  <c:v>900</c:v>
                </c:pt>
                <c:pt idx="5">
                  <c:v>1500</c:v>
                </c:pt>
              </c:numCache>
            </c:numRef>
          </c:xVal>
          <c:yVal>
            <c:numRef>
              <c:f>'2.Tabelas'!$D$34:$D$39</c:f>
              <c:numCache>
                <c:formatCode>General</c:formatCode>
                <c:ptCount val="6"/>
                <c:pt idx="0">
                  <c:v>100</c:v>
                </c:pt>
                <c:pt idx="1">
                  <c:v>10</c:v>
                </c:pt>
                <c:pt idx="2">
                  <c:v>1</c:v>
                </c:pt>
                <c:pt idx="3">
                  <c:v>0.1</c:v>
                </c:pt>
                <c:pt idx="4">
                  <c:v>0.03</c:v>
                </c:pt>
                <c:pt idx="5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22B-438F-B807-0078BFE75118}"/>
            </c:ext>
          </c:extLst>
        </c:ser>
        <c:ser>
          <c:idx val="5"/>
          <c:order val="5"/>
          <c:tx>
            <c:strRef>
              <c:f>'2.Tabelas'!$F$32</c:f>
              <c:strCache>
                <c:ptCount val="1"/>
                <c:pt idx="0">
                  <c:v>Elo Máx. de 40K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'2.Tabelas'!$G$34:$G$39</c:f>
              <c:numCache>
                <c:formatCode>General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270</c:v>
                </c:pt>
                <c:pt idx="3">
                  <c:v>650</c:v>
                </c:pt>
                <c:pt idx="4">
                  <c:v>1350</c:v>
                </c:pt>
                <c:pt idx="5">
                  <c:v>3000</c:v>
                </c:pt>
              </c:numCache>
            </c:numRef>
          </c:xVal>
          <c:yVal>
            <c:numRef>
              <c:f>'2.Tabelas'!$H$33:$H$39</c:f>
              <c:numCache>
                <c:formatCode>General</c:formatCode>
                <c:ptCount val="7"/>
                <c:pt idx="0">
                  <c:v>0</c:v>
                </c:pt>
                <c:pt idx="1">
                  <c:v>100</c:v>
                </c:pt>
                <c:pt idx="2">
                  <c:v>10</c:v>
                </c:pt>
                <c:pt idx="3">
                  <c:v>1</c:v>
                </c:pt>
                <c:pt idx="4">
                  <c:v>0.1</c:v>
                </c:pt>
                <c:pt idx="5">
                  <c:v>0.03</c:v>
                </c:pt>
                <c:pt idx="6">
                  <c:v>1.4999999999999999E-2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22B-438F-B807-0078BFE75118}"/>
            </c:ext>
          </c:extLst>
        </c:ser>
        <c:ser>
          <c:idx val="6"/>
          <c:order val="6"/>
          <c:tx>
            <c:strRef>
              <c:f>'2.Tabelas'!$L$13</c:f>
              <c:strCache>
                <c:ptCount val="1"/>
                <c:pt idx="0">
                  <c:v>50 - Relé Neoenergia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'2.Tabelas'!$M$15:$M$16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'2.Tabelas'!$L$15:$L$16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DB-49D1-AC8F-70A76EB884FF}"/>
            </c:ext>
          </c:extLst>
        </c:ser>
        <c:ser>
          <c:idx val="8"/>
          <c:order val="7"/>
          <c:tx>
            <c:strRef>
              <c:f>'2.Tabelas'!$L$19</c:f>
              <c:strCache>
                <c:ptCount val="1"/>
                <c:pt idx="0">
                  <c:v>51 - Relé Neoenergia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'2.Tabelas'!$M$21:$M$31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'2.Tabelas'!$L$21:$L$31</c:f>
              <c:numCache>
                <c:formatCode>0.00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DB-49D1-AC8F-70A76EB884FF}"/>
            </c:ext>
          </c:extLst>
        </c:ser>
        <c:ser>
          <c:idx val="7"/>
          <c:order val="8"/>
          <c:tx>
            <c:strRef>
              <c:f>'2.Tabelas'!$P$13</c:f>
              <c:strCache>
                <c:ptCount val="1"/>
                <c:pt idx="0">
                  <c:v>50N - Relé Neoenergia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'2.Tabelas'!$Q$15:$Q$16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'2.Tabelas'!$P$15:$P$16</c:f>
              <c:numCache>
                <c:formatCode>0.000</c:formatCode>
                <c:ptCount val="2"/>
                <c:pt idx="0" formatCode="General">
                  <c:v>0.01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DB-49D1-AC8F-70A76EB884FF}"/>
            </c:ext>
          </c:extLst>
        </c:ser>
        <c:ser>
          <c:idx val="9"/>
          <c:order val="9"/>
          <c:tx>
            <c:strRef>
              <c:f>'2.Tabelas'!$P$19</c:f>
              <c:strCache>
                <c:ptCount val="1"/>
                <c:pt idx="0">
                  <c:v>51N - Relé Neoenergia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'2.Tabelas'!$Q$21:$Q$31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'2.Tabelas'!$P$21:$P$31</c:f>
              <c:numCache>
                <c:formatCode>0.00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4DB-49D1-AC8F-70A76EB88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068344"/>
        <c:axId val="432069000"/>
      </c:scatterChart>
      <c:valAx>
        <c:axId val="43206834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Corrente</a:t>
                </a:r>
                <a:r>
                  <a:rPr lang="pt-BR" baseline="0"/>
                  <a:t> (A)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069000"/>
        <c:crossesAt val="1.0000000000000002E-2"/>
        <c:crossBetween val="midCat"/>
      </c:valAx>
      <c:valAx>
        <c:axId val="4320690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Tempo</a:t>
                </a:r>
                <a:r>
                  <a:rPr lang="pt-BR" baseline="0"/>
                  <a:t> de Atuação (s)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068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52</xdr:row>
      <xdr:rowOff>28575</xdr:rowOff>
    </xdr:from>
    <xdr:to>
      <xdr:col>62</xdr:col>
      <xdr:colOff>51954</xdr:colOff>
      <xdr:row>75</xdr:row>
      <xdr:rowOff>121227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17318</xdr:colOff>
      <xdr:row>1</xdr:row>
      <xdr:rowOff>4332</xdr:rowOff>
    </xdr:from>
    <xdr:to>
      <xdr:col>28</xdr:col>
      <xdr:colOff>502227</xdr:colOff>
      <xdr:row>25</xdr:row>
      <xdr:rowOff>86591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_TipoTrafo" displayName="Tabela_TipoTrafo" ref="AE4:AG6" totalsRowShown="0">
  <autoFilter ref="AE4:AG6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000-000001000000}" name="Tipo"/>
    <tableColumn id="2" xr3:uid="{00000000-0010-0000-0000-000002000000}" name="M_Irush"/>
    <tableColumn id="3" xr3:uid="{00000000-0010-0000-0000-000003000000}" name="Duração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ela_TipoConsumidor" displayName="Tabela_TipoConsumidor" ref="AE10:AF12" totalsRowShown="0">
  <autoFilter ref="AE10:AF12" xr:uid="{00000000-0009-0000-0100-000004000000}">
    <filterColumn colId="0" hiddenButton="1"/>
    <filterColumn colId="1" hiddenButton="1"/>
  </autoFilter>
  <tableColumns count="2">
    <tableColumn id="1" xr3:uid="{00000000-0010-0000-0900-000001000000}" name="Consumidor"/>
    <tableColumn id="2" xr3:uid="{00000000-0010-0000-0900-000002000000}" name="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A000000}" name="Tabela_Elos_Imin" displayName="Tabela_Elos_Imin" ref="AE39:AH63" totalsRowShown="0">
  <autoFilter ref="AE39:AH63" xr:uid="{00000000-0009-0000-0100-000012000000}">
    <filterColumn colId="0" hiddenButton="1"/>
    <filterColumn colId="1" hiddenButton="1"/>
    <filterColumn colId="2" hiddenButton="1"/>
  </autoFilter>
  <tableColumns count="4">
    <tableColumn id="1" xr3:uid="{00000000-0010-0000-0A00-000001000000}" name="Elo+T">
      <calculatedColumnFormula>Tabela_Elos_Imin[[#This Row],[Elo]]&amp;Tabela_Elos_Imin[[#This Row],[Tempo]]</calculatedColumnFormula>
    </tableColumn>
    <tableColumn id="2" xr3:uid="{00000000-0010-0000-0A00-000002000000}" name="Elo"/>
    <tableColumn id="3" xr3:uid="{00000000-0010-0000-0A00-000003000000}" name="Corrente"/>
    <tableColumn id="4" xr3:uid="{00000000-0010-0000-0A00-000004000000}" name="Tempo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B000000}" name="Tabela_Elos_Imax" displayName="Tabela_Elos_Imax" ref="AJ39:AM63" totalsRowShown="0">
  <autoFilter ref="AJ39:AM63" xr:uid="{00000000-0009-0000-0100-000013000000}">
    <filterColumn colId="0" hiddenButton="1"/>
    <filterColumn colId="1" hiddenButton="1"/>
    <filterColumn colId="2" hiddenButton="1"/>
  </autoFilter>
  <tableColumns count="4">
    <tableColumn id="1" xr3:uid="{00000000-0010-0000-0B00-000001000000}" name="Elo+T" dataDxfId="82">
      <calculatedColumnFormula>Tabela_Elos_Imax[[#This Row],[Elo]]&amp;Tabela_Elos_Imax[[#This Row],[Tempo]]</calculatedColumnFormula>
    </tableColumn>
    <tableColumn id="2" xr3:uid="{00000000-0010-0000-0B00-000002000000}" name="Elo"/>
    <tableColumn id="3" xr3:uid="{00000000-0010-0000-0B00-000003000000}" name="Corrente"/>
    <tableColumn id="4" xr3:uid="{00000000-0010-0000-0B00-000004000000}" name="Tempo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C000000}" name="Tabela_EloMin" displayName="Tabela_EloMin" ref="B33:D39" totalsRowShown="0" headerRowDxfId="81" dataDxfId="79" headerRowBorderDxfId="80" tableBorderDxfId="78" totalsRowBorderDxfId="77">
  <autoFilter ref="B33:D39" xr:uid="{00000000-0009-0000-0100-000014000000}">
    <filterColumn colId="0" hiddenButton="1"/>
    <filterColumn colId="1" hiddenButton="1"/>
    <filterColumn colId="2" hiddenButton="1"/>
  </autoFilter>
  <tableColumns count="3">
    <tableColumn id="1" xr3:uid="{00000000-0010-0000-0C00-000001000000}" name="Elo" dataDxfId="76">
      <calculatedColumnFormula>'1.Formulário'!$AL$7</calculatedColumnFormula>
    </tableColumn>
    <tableColumn id="2" xr3:uid="{00000000-0010-0000-0C00-000002000000}" name="Corrente" dataDxfId="75">
      <calculatedColumnFormula>VLOOKUP(Tabela_EloMin[[#This Row],[Elo]]&amp;Tabela_EloMin[[#This Row],[Tempo]],Tabela_Elos_Imin[],3,FALSE)</calculatedColumnFormula>
    </tableColumn>
    <tableColumn id="3" xr3:uid="{00000000-0010-0000-0C00-000003000000}" name="Tempo" dataDxfId="74"/>
  </tableColumns>
  <tableStyleInfo name="TableStyleLight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abela_EloMax" displayName="Tabela_EloMax" ref="F33:H39" totalsRowShown="0" headerRowDxfId="73" dataDxfId="71" headerRowBorderDxfId="72" tableBorderDxfId="70" totalsRowBorderDxfId="69">
  <autoFilter ref="F33:H39" xr:uid="{00000000-0009-0000-0100-000015000000}">
    <filterColumn colId="0" hiddenButton="1"/>
    <filterColumn colId="1" hiddenButton="1"/>
    <filterColumn colId="2" hiddenButton="1"/>
  </autoFilter>
  <tableColumns count="3">
    <tableColumn id="1" xr3:uid="{00000000-0010-0000-0D00-000001000000}" name="Elo" dataDxfId="68">
      <calculatedColumnFormula>'1.Formulário'!$AL$7</calculatedColumnFormula>
    </tableColumn>
    <tableColumn id="2" xr3:uid="{00000000-0010-0000-0D00-000002000000}" name="Corrente" dataDxfId="67">
      <calculatedColumnFormula>VLOOKUP(Tabela_EloMax[[#This Row],[Elo]]&amp;Tabela_EloMax[[#This Row],[Tempo]],Tabela_Elos_Imax[],3,FALSE)</calculatedColumnFormula>
    </tableColumn>
    <tableColumn id="3" xr3:uid="{00000000-0010-0000-0D00-000003000000}" name="Tempo" dataDxfId="66"/>
  </tableColumns>
  <tableStyleInfo name="TableStyleLight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E000000}" name="Tabela_instFaseNeoenergia" displayName="Tabela_instFaseNeoenergia" ref="L14:M16" totalsRowShown="0">
  <autoFilter ref="L14:M16" xr:uid="{00000000-0009-0000-0100-000018000000}">
    <filterColumn colId="0" hiddenButton="1"/>
    <filterColumn colId="1" hiddenButton="1"/>
  </autoFilter>
  <tableColumns count="2">
    <tableColumn id="2" xr3:uid="{00000000-0010-0000-0E00-000002000000}" name="tempo"/>
    <tableColumn id="1" xr3:uid="{00000000-0010-0000-0E00-000001000000}" name="corrente" dataDxfId="65">
      <calculatedColumnFormula>Rele_Neo_fase[I_instantaneo]</calculatedColumnFormula>
    </tableColumn>
  </tableColumns>
  <tableStyleInfo name="TableStyleLight1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F000000}" name="Tabela_instNeutroNeoenergia" displayName="Tabela_instNeutroNeoenergia" ref="P14:Q16" totalsRowShown="0">
  <autoFilter ref="P14:Q16" xr:uid="{00000000-0009-0000-0100-000019000000}">
    <filterColumn colId="0" hiddenButton="1"/>
    <filterColumn colId="1" hiddenButton="1"/>
  </autoFilter>
  <tableColumns count="2">
    <tableColumn id="2" xr3:uid="{00000000-0010-0000-0F00-000002000000}" name="tempo"/>
    <tableColumn id="1" xr3:uid="{00000000-0010-0000-0F00-000001000000}" name="corrente" dataDxfId="64">
      <calculatedColumnFormula>Rele_Neo_neutro[I_instantaneo]</calculatedColumnFormula>
    </tableColumn>
  </tableColumns>
  <tableStyleInfo name="TableStyleLight1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0000000}" name="Tabela_tempFaseNeoenergia" displayName="Tabela_tempFaseNeoenergia" ref="L20:M31" totalsRowShown="0">
  <autoFilter ref="L20:M31" xr:uid="{00000000-0009-0000-0100-00001A000000}">
    <filterColumn colId="0" hiddenButton="1"/>
    <filterColumn colId="1" hiddenButton="1"/>
  </autoFilter>
  <tableColumns count="2">
    <tableColumn id="2" xr3:uid="{00000000-0010-0000-1000-000002000000}" name="tempo" dataDxfId="63">
      <calculatedColumnFormula>VLOOKUP(Rele_Neo_fase[CURVA],Tabela_ParametrosCurvas[],2,FALSE)*Rele_Neo_fase[DIAL]/((Tabela_tempFaseNeoenergia[[#This Row],[corrente]]/Rele_Neo_fase[Ip])^VLOOKUP(Rele_Neo_fase[CURVA],Tabela_ParametrosCurvas[],3,FALSE)-1)</calculatedColumnFormula>
    </tableColumn>
    <tableColumn id="1" xr3:uid="{00000000-0010-0000-1000-000001000000}" name="corrente" dataDxfId="62"/>
  </tableColumns>
  <tableStyleInfo name="TableStyleLight1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1000000}" name="Tabela_tempNeutroNeoenergia" displayName="Tabela_tempNeutroNeoenergia" ref="P20:Q31" totalsRowShown="0">
  <autoFilter ref="P20:Q31" xr:uid="{00000000-0009-0000-0100-00001B000000}">
    <filterColumn colId="0" hiddenButton="1"/>
    <filterColumn colId="1" hiddenButton="1"/>
  </autoFilter>
  <tableColumns count="2">
    <tableColumn id="2" xr3:uid="{00000000-0010-0000-1100-000002000000}" name="tempo" dataDxfId="61">
      <calculatedColumnFormula>VLOOKUP(Rele_Neo_neutro[CURVA],Tabela_ParametrosCurvas[],2,FALSE)*Rele_Neo_neutro[DIAL]/((Tabela_tempNeutroNeoenergia[[#This Row],[corrente]]/Rele_Neo_neutro[Ip])^VLOOKUP(Rele_Neo_neutro[CURVA],Tabela_ParametrosCurvas[],3,FALSE)-1)</calculatedColumnFormula>
    </tableColumn>
    <tableColumn id="1" xr3:uid="{00000000-0010-0000-1100-000001000000}" name="corrente" dataDxfId="60"/>
  </tableColumns>
  <tableStyleInfo name="TableStyleLight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2000000}" name="Rele_Neo_fase" displayName="Rele_Neo_fase" ref="L5:R6" totalsRowShown="0">
  <autoFilter ref="L5:R6" xr:uid="{00000000-0009-0000-0100-00001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200-000001000000}" name="RTC">
      <calculatedColumnFormula>'1.Formulário'!AV35</calculatedColumnFormula>
    </tableColumn>
    <tableColumn id="2" xr3:uid="{00000000-0010-0000-1200-000002000000}" name="TAP">
      <calculatedColumnFormula>'1.Formulário'!AV36</calculatedColumnFormula>
    </tableColumn>
    <tableColumn id="3" xr3:uid="{00000000-0010-0000-1200-000003000000}" name="DIAL">
      <calculatedColumnFormula>'1.Formulário'!AV37</calculatedColumnFormula>
    </tableColumn>
    <tableColumn id="4" xr3:uid="{00000000-0010-0000-1200-000004000000}" name="CURVA">
      <calculatedColumnFormula>'1.Formulário'!AV38</calculatedColumnFormula>
    </tableColumn>
    <tableColumn id="5" xr3:uid="{00000000-0010-0000-1200-000005000000}" name="DI">
      <calculatedColumnFormula>'1.Formulário'!AV39</calculatedColumnFormula>
    </tableColumn>
    <tableColumn id="6" xr3:uid="{00000000-0010-0000-1200-000006000000}" name="Ip" dataDxfId="59">
      <calculatedColumnFormula>Rele_Neo_fase[RTC]*Rele_Neo_fase[TAP]</calculatedColumnFormula>
    </tableColumn>
    <tableColumn id="7" xr3:uid="{00000000-0010-0000-1200-000007000000}" name="I_instantaneo">
      <calculatedColumnFormula>Rele_Neo_fase[RTC]*Rele_Neo_fase[DI]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Tabela_Elos" displayName="Tabela_Elos" ref="AI4:AJ13" totalsRowShown="0">
  <autoFilter ref="AI4:AJ13" xr:uid="{00000000-0009-0000-0100-00000C000000}">
    <filterColumn colId="0" hiddenButton="1"/>
    <filterColumn colId="1" hiddenButton="1"/>
  </autoFilter>
  <tableColumns count="2">
    <tableColumn id="1" xr3:uid="{00000000-0010-0000-0100-000001000000}" name="Potência Instalada "/>
    <tableColumn id="2" xr3:uid="{00000000-0010-0000-0100-000002000000}" name="Elo fusível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3000000}" name="Rele_Neo_neutro" displayName="Rele_Neo_neutro" ref="L9:R10" totalsRowShown="0">
  <autoFilter ref="L9:R10" xr:uid="{00000000-0009-0000-0100-00001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300-000001000000}" name="RTC">
      <calculatedColumnFormula>'1.Formulário'!BD35</calculatedColumnFormula>
    </tableColumn>
    <tableColumn id="2" xr3:uid="{00000000-0010-0000-1300-000002000000}" name="TAP">
      <calculatedColumnFormula>'1.Formulário'!BD36</calculatedColumnFormula>
    </tableColumn>
    <tableColumn id="3" xr3:uid="{00000000-0010-0000-1300-000003000000}" name="DIAL">
      <calculatedColumnFormula>'1.Formulário'!BD37</calculatedColumnFormula>
    </tableColumn>
    <tableColumn id="4" xr3:uid="{00000000-0010-0000-1300-000004000000}" name="CURVA">
      <calculatedColumnFormula>'1.Formulário'!BD38</calculatedColumnFormula>
    </tableColumn>
    <tableColumn id="5" xr3:uid="{00000000-0010-0000-1300-000005000000}" name="DI">
      <calculatedColumnFormula>'1.Formulário'!BD39</calculatedColumnFormula>
    </tableColumn>
    <tableColumn id="6" xr3:uid="{00000000-0010-0000-1300-000006000000}" name="Ip" dataDxfId="58">
      <calculatedColumnFormula>Rele_Neo_neutro[RTC]*Rele_Neo_neutro[TAP]</calculatedColumnFormula>
    </tableColumn>
    <tableColumn id="7" xr3:uid="{00000000-0010-0000-1300-000007000000}" name="I_instantaneo">
      <calculatedColumnFormula>Rele_Neo_neutro[RTC]*Rele_Neo_neutro[DI]</calculatedColumnFormula>
    </tableColumn>
  </tableColumns>
  <tableStyleInfo name="TableStyleLight1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4000000}" name="Rele_Cliente_fase" displayName="Rele_Cliente_fase" ref="B4:G5" totalsRowShown="0" headerRowDxfId="57" dataDxfId="56" tableBorderDxfId="55">
  <autoFilter ref="B4:G5" xr:uid="{00000000-0009-0000-0100-00002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400-000001000000}" name="RTC" dataDxfId="54">
      <calculatedColumnFormula>'1.Formulário'!S26</calculatedColumnFormula>
    </tableColumn>
    <tableColumn id="2" xr3:uid="{00000000-0010-0000-1400-000002000000}" name="DIAL" dataDxfId="53">
      <calculatedColumnFormula>'1.Formulário'!AV29</calculatedColumnFormula>
    </tableColumn>
    <tableColumn id="3" xr3:uid="{00000000-0010-0000-1400-000003000000}" name="CURVA" dataDxfId="52">
      <calculatedColumnFormula>'1.Formulário'!AV28</calculatedColumnFormula>
    </tableColumn>
    <tableColumn id="4" xr3:uid="{00000000-0010-0000-1400-000004000000}" name="DI" dataDxfId="51">
      <calculatedColumnFormula>'1.Formulário'!AV29</calculatedColumnFormula>
    </tableColumn>
    <tableColumn id="5" xr3:uid="{00000000-0010-0000-1400-000005000000}" name="Ip" dataDxfId="50">
      <calculatedColumnFormula>'1.Formulário'!AV27</calculatedColumnFormula>
    </tableColumn>
    <tableColumn id="6" xr3:uid="{00000000-0010-0000-1400-000006000000}" name="I_instantaneo" dataDxfId="49">
      <calculatedColumnFormula>'1.Formulário'!AV33</calculatedColumnFormula>
    </tableColumn>
  </tableColumns>
  <tableStyleInfo name="TableStyleLight1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5000000}" name="Rele_Cliente_neutro" displayName="Rele_Cliente_neutro" ref="B8:G9" totalsRowShown="0" headerRowDxfId="48" dataDxfId="47" tableBorderDxfId="46">
  <autoFilter ref="B8:G9" xr:uid="{00000000-0009-0000-0100-00002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500-000001000000}" name="RTC" dataDxfId="45">
      <calculatedColumnFormula>'1.Formulário'!S26</calculatedColumnFormula>
    </tableColumn>
    <tableColumn id="2" xr3:uid="{00000000-0010-0000-1500-000002000000}" name="DIAL" dataDxfId="44">
      <calculatedColumnFormula>'1.Formulário'!BD29</calculatedColumnFormula>
    </tableColumn>
    <tableColumn id="3" xr3:uid="{00000000-0010-0000-1500-000003000000}" name="CURVA" dataDxfId="43">
      <calculatedColumnFormula>'1.Formulário'!BD28</calculatedColumnFormula>
    </tableColumn>
    <tableColumn id="4" xr3:uid="{00000000-0010-0000-1500-000004000000}" name="DI" dataDxfId="42">
      <calculatedColumnFormula>'1.Formulário'!BD29</calculatedColumnFormula>
    </tableColumn>
    <tableColumn id="5" xr3:uid="{00000000-0010-0000-1500-000005000000}" name="Ip" dataDxfId="41">
      <calculatedColumnFormula>'1.Formulário'!BD27</calculatedColumnFormula>
    </tableColumn>
    <tableColumn id="6" xr3:uid="{00000000-0010-0000-1500-000006000000}" name="I_instantaneo" dataDxfId="40">
      <calculatedColumnFormula>'1.Formulário'!BD33</calculatedColumnFormula>
    </tableColumn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6000000}" name="Tabela_Trafos" displayName="Tabela_Trafos" ref="A104:J106" totalsRowShown="0">
  <autoFilter ref="A104:J10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1600-000001000000}" name="Potência" dataDxfId="39"/>
    <tableColumn id="2" xr3:uid="{00000000-0010-0000-1600-000002000000}" name="Tipo" dataDxfId="38"/>
    <tableColumn id="4" xr3:uid="{00000000-0010-0000-1600-000004000000}" name="Z%" dataDxfId="37"/>
    <tableColumn id="6" xr3:uid="{00000000-0010-0000-1600-000006000000}" name="In" dataDxfId="36">
      <calculatedColumnFormula>Tabela_Trafos[[#This Row],[Potência]]/(0.92*SQRT(3)*Tabela_Demanda[Alta]/1000)</calculatedColumnFormula>
    </tableColumn>
    <tableColumn id="7" xr3:uid="{00000000-0010-0000-1600-000007000000}" name="Ip" dataDxfId="35">
      <calculatedColumnFormula>Tabela_Trafos[[#This Row],[In]]*VLOOKUP(Tabela_Demanda[Consumidor],Tabela_TipoConsumidor[],2,FALSE)</calculatedColumnFormula>
    </tableColumn>
    <tableColumn id="8" xr3:uid="{00000000-0010-0000-1600-000008000000}" name="Ipn" dataDxfId="34">
      <calculatedColumnFormula>Tabela_Trafos[[#This Row],[Ip]]/3</calculatedColumnFormula>
    </tableColumn>
    <tableColumn id="5" xr3:uid="{00000000-0010-0000-1600-000005000000}" name="Irush" dataDxfId="33">
      <calculatedColumnFormula>VLOOKUP(Tabela_Trafos[[#This Row],[Tipo]],Tabela_TipoTrafo[],2,FALSE)*Tabela_Trafos[[#This Row],[Potência]]/(SQRT(3)*Tabela_Demanda[Alta]/1000)</calculatedColumnFormula>
    </tableColumn>
    <tableColumn id="3" xr3:uid="{00000000-0010-0000-1600-000003000000}" name="I_ANSI" dataDxfId="32">
      <calculatedColumnFormula>0.58*100*Tabela_Trafos[[#This Row],[Potência]]/(SQRT(3)*Tabela_Trafos[[#This Row],[Z%]]*Tabela_Demanda[Alta]/1000)</calculatedColumnFormula>
    </tableColumn>
    <tableColumn id="9" xr3:uid="{00000000-0010-0000-1600-000009000000}" name="ANSI_tabela" dataDxfId="31">
      <calculatedColumnFormula>VLOOKUP(Tabela_Trafos[[#This Row],[Z%]],Tabela_Impedancia[],2,FALSE)</calculatedColumnFormula>
    </tableColumn>
    <tableColumn id="10" xr3:uid="{00000000-0010-0000-1600-00000A000000}" name="ANSI_t_tabela" dataDxfId="30">
      <calculatedColumnFormula>VLOOKUP(Tabela_Trafos[[#This Row],[Z%]],Tabela_Impedancia[],3,FALSE)</calculatedColumnFormula>
    </tableColumn>
  </tableColumns>
  <tableStyleInfo name="TableStyleLight8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7000000}" name="Tabela_Demanda" displayName="Tabela_Demanda" ref="A91:I92" totalsRowShown="0" dataDxfId="29">
  <autoFilter ref="A91:I9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1700-000001000000}" name="Demanda" dataDxfId="28"/>
    <tableColumn id="2" xr3:uid="{00000000-0010-0000-1700-000002000000}" name="Alta" dataDxfId="27"/>
    <tableColumn id="3" xr3:uid="{00000000-0010-0000-1700-000003000000}" name="Baixa" dataDxfId="26"/>
    <tableColumn id="4" xr3:uid="{00000000-0010-0000-1700-000004000000}" name="Consumidor" dataDxfId="25"/>
    <tableColumn id="5" xr3:uid="{00000000-0010-0000-1700-000005000000}" name="Pot. Instalada" dataDxfId="24"/>
    <tableColumn id="6" xr3:uid="{00000000-0010-0000-1700-000006000000}" name="In" dataDxfId="23">
      <calculatedColumnFormula>Tabela_Demanda[Demanda]/(SQRT(3)*Tabela_Demanda[Alta]/1000)</calculatedColumnFormula>
    </tableColumn>
    <tableColumn id="7" xr3:uid="{00000000-0010-0000-1700-000007000000}" name="Ip" dataDxfId="22">
      <calculatedColumnFormula>Tabela_Demanda[In]*VLOOKUP(Tabela_Demanda[Consumidor],Tabela_TipoConsumidor[],2,FALSE)</calculatedColumnFormula>
    </tableColumn>
    <tableColumn id="10" xr3:uid="{00000000-0010-0000-1700-00000A000000}" name="Ipn" dataDxfId="21">
      <calculatedColumnFormula>Tabela_Demanda[Ip]/3</calculatedColumnFormula>
    </tableColumn>
    <tableColumn id="11" xr3:uid="{00000000-0010-0000-1700-00000B000000}" name="Elo" dataDxfId="20">
      <calculatedColumnFormula>VLOOKUP(Tabela_Demanda[Pot. Instalada],Tabela_Elos[],2)</calculatedColumnFormula>
    </tableColumn>
  </tableColumns>
  <tableStyleInfo name="TableStyleLight8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8000000}" name="Tabela_Icc" displayName="Tabela_Icc" ref="A100:E101" totalsRowShown="0">
  <autoFilter ref="A100:E101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800-000001000000}" name="Icc3F" dataDxfId="19"/>
    <tableColumn id="2" xr3:uid="{00000000-0010-0000-1800-000002000000}" name="Icc1Fmin" dataDxfId="18"/>
    <tableColumn id="3" xr3:uid="{00000000-0010-0000-1800-000003000000}" name="Icc1Fmax" dataDxfId="17"/>
    <tableColumn id="4" xr3:uid="{00000000-0010-0000-1800-000004000000}" name="Min_TP" dataDxfId="16">
      <calculatedColumnFormula>A101/20</calculatedColumnFormula>
    </tableColumn>
    <tableColumn id="5" xr3:uid="{00000000-0010-0000-1800-000005000000}" name="Min_TC" dataDxfId="15">
      <calculatedColumnFormula>Tabela_Icc[Icc3F]/50</calculatedColumnFormula>
    </tableColumn>
  </tableColumns>
  <tableStyleInfo name="TableStyleLight8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9000000}" name="Tabela_RTC" displayName="Tabela_RTC" ref="G100:I101" totalsRowShown="0" dataDxfId="14">
  <autoFilter ref="G100:I101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1900-000001000000}" name="TC_alta" dataDxfId="13"/>
    <tableColumn id="2" xr3:uid="{00000000-0010-0000-1900-000002000000}" name="TC_baixa" dataDxfId="12"/>
    <tableColumn id="3" xr3:uid="{00000000-0010-0000-1900-000003000000}" name="RTC" dataDxfId="11">
      <calculatedColumnFormula>Tabela_RTC[TC_alta]/Tabela_RTC[TC_baixa]</calculatedColumnFormula>
    </tableColumn>
  </tableColumns>
  <tableStyleInfo name="TableStyleLight8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A000000}" name="Tabela_PickUp" displayName="Tabela_PickUp" ref="F95:I96" totalsRowShown="0">
  <autoFilter ref="F95:I96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A00-000001000000}" name="50_alta" dataDxfId="10">
      <calculatedColumnFormula>VLOOKUP(Tabela_Demanda[Consumidor],Tabela_TipoConsumidor[],2,FALSE)*SUM(Tabela_Trafos[Irush])</calculatedColumnFormula>
    </tableColumn>
    <tableColumn id="2" xr3:uid="{00000000-0010-0000-1A00-000002000000}" name="50N_alta" dataDxfId="9">
      <calculatedColumnFormula>F96/3</calculatedColumnFormula>
    </tableColumn>
    <tableColumn id="3" xr3:uid="{00000000-0010-0000-1A00-000003000000}" name="50_baixa" dataDxfId="8">
      <calculatedColumnFormula>Tabela_PickUp[50_alta]/Tabela_RTC[RTC]</calculatedColumnFormula>
    </tableColumn>
    <tableColumn id="4" xr3:uid="{00000000-0010-0000-1A00-000004000000}" name="50N_baixa" dataDxfId="7">
      <calculatedColumnFormula>Tabela_PickUp[50N_alta]/Tabela_RTC[RTC]</calculatedColumnFormula>
    </tableColumn>
  </tableColumns>
  <tableStyleInfo name="TableStyleLight1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B000000}" name="Tabela_ConfigProteção" displayName="Tabela_ConfigProteção" ref="A95:D97" totalsRowShown="0" dataDxfId="6">
  <autoFilter ref="A95:D97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B00-000001000000}" name="Condutor" dataDxfId="5"/>
    <tableColumn id="3" xr3:uid="{00000000-0010-0000-1B00-000003000000}" name="Curva" dataDxfId="4"/>
    <tableColumn id="5" xr3:uid="{00000000-0010-0000-1B00-000005000000}" name="Dial_Tempo" dataDxfId="3"/>
    <tableColumn id="6" xr3:uid="{00000000-0010-0000-1B00-000006000000}" name="Irush" dataDxfId="2">
      <calculatedColumnFormula>D95/3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Curva_50_Cliente" displayName="Curva_50_Cliente" ref="B13:C15" totalsRowShown="0">
  <autoFilter ref="B13:C15" xr:uid="{00000000-0009-0000-0100-00000D000000}">
    <filterColumn colId="0" hiddenButton="1"/>
    <filterColumn colId="1" hiddenButton="1"/>
  </autoFilter>
  <tableColumns count="2">
    <tableColumn id="2" xr3:uid="{00000000-0010-0000-0200-000002000000}" name="tempo"/>
    <tableColumn id="1" xr3:uid="{00000000-0010-0000-0200-000001000000}" name="corrente" dataDxfId="88">
      <calculatedColumnFormula>Rele_Cliente_fase[I_instantaneo]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Curva_50N_Cliente" displayName="Curva_50N_Cliente" ref="F13:G15" totalsRowShown="0">
  <autoFilter ref="F13:G15" xr:uid="{00000000-0009-0000-0100-00000E000000}">
    <filterColumn colId="0" hiddenButton="1"/>
    <filterColumn colId="1" hiddenButton="1"/>
  </autoFilter>
  <tableColumns count="2">
    <tableColumn id="2" xr3:uid="{00000000-0010-0000-0300-000002000000}" name="tempo"/>
    <tableColumn id="1" xr3:uid="{00000000-0010-0000-0300-000001000000}" name="corrente" dataDxfId="87">
      <calculatedColumnFormula>Rele_Cliente_neutro[I_instantaneo]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Curva_51_Cliente" displayName="Curva_51_Cliente" ref="B19:C30" totalsRowShown="0">
  <autoFilter ref="B19:C30" xr:uid="{00000000-0009-0000-0100-00000F000000}">
    <filterColumn colId="0" hiddenButton="1"/>
    <filterColumn colId="1" hiddenButton="1"/>
  </autoFilter>
  <tableColumns count="2">
    <tableColumn id="2" xr3:uid="{00000000-0010-0000-0400-000002000000}" name="tempo" dataDxfId="86">
      <calculatedColumnFormula>VLOOKUP(Rele_Cliente_fase[CURVA],Tabela_ParametrosCurvas[],2,FALSE)*Rele_Cliente_fase[DI]/((Curva_51_Cliente[[#This Row],[corrente]]/Rele_Cliente_fase[Ip])^VLOOKUP(Rele_Cliente_fase[CURVA],Tabela_ParametrosCurvas[],3,FALSE)-1)</calculatedColumnFormula>
    </tableColumn>
    <tableColumn id="1" xr3:uid="{00000000-0010-0000-0400-000001000000}" name="corrente" dataDxfId="85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Curva_51N_Cliente" displayName="Curva_51N_Cliente" ref="F19:G30" totalsRowShown="0">
  <autoFilter ref="F19:G30" xr:uid="{00000000-0009-0000-0100-000010000000}">
    <filterColumn colId="0" hiddenButton="1"/>
    <filterColumn colId="1" hiddenButton="1"/>
  </autoFilter>
  <tableColumns count="2">
    <tableColumn id="2" xr3:uid="{00000000-0010-0000-0500-000002000000}" name="tempo" dataDxfId="84">
      <calculatedColumnFormula>VLOOKUP(Rele_Cliente_neutro[CURVA],Tabela_ParametrosCurvas[],2,FALSE)*Rele_Cliente_neutro[DIAL]/((Curva_51N_Cliente[[#This Row],[corrente]]/Rele_Cliente_neutro[Ip])^VLOOKUP(Rele_Cliente_neutro[CURVA],Tabela_ParametrosCurvas[],3,FALSE)-1)</calculatedColumnFormula>
    </tableColumn>
    <tableColumn id="1" xr3:uid="{00000000-0010-0000-0500-000001000000}" name="corrente" dataDxfId="83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ela_ParametrosCurvas" displayName="Tabela_ParametrosCurvas" ref="AE22:AH31" totalsRowShown="0">
  <autoFilter ref="AE22:AH31" xr:uid="{00000000-0009-0000-0100-00000A000000}">
    <filterColumn colId="0" hiddenButton="1"/>
    <filterColumn colId="1" hiddenButton="1"/>
    <filterColumn colId="2" hiddenButton="1"/>
  </autoFilter>
  <tableColumns count="4">
    <tableColumn id="1" xr3:uid="{00000000-0010-0000-0600-000001000000}" name="Curva"/>
    <tableColumn id="2" xr3:uid="{00000000-0010-0000-0600-000002000000}" name="k"/>
    <tableColumn id="3" xr3:uid="{00000000-0010-0000-0600-000003000000}" name="α"/>
    <tableColumn id="4" xr3:uid="{00000000-0010-0000-0600-000004000000}" name="t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_PadroesTCs" displayName="Tabela_PadroesTCs" ref="AM6:AP26" totalsRowShown="0">
  <autoFilter ref="AM6:AP26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TC_alta"/>
    <tableColumn id="2" xr3:uid="{00000000-0010-0000-0700-000002000000}" name="TC_baixa"/>
    <tableColumn id="3" xr3:uid="{00000000-0010-0000-0700-000003000000}" name="Relação">
      <calculatedColumnFormula>Tabela_PadroesTCs[[#This Row],[TC_alta]]/Tabela_PadroesTCs[[#This Row],[TC_baixa]]</calculatedColumnFormula>
    </tableColumn>
    <tableColumn id="4" xr3:uid="{00000000-0010-0000-0700-000004000000}" name="I_sat">
      <calculatedColumnFormula>Tabela_PadroesTCs[[#This Row],[TC_alta]]*20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ela_Impedancia" displayName="Tabela_Impedancia" ref="AE14:AG19" totalsRowShown="0">
  <autoFilter ref="AE14:AG19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800-000001000000}" name="Z%"/>
    <tableColumn id="2" xr3:uid="{00000000-0010-0000-0800-000002000000}" name="ANSI"/>
    <tableColumn id="3" xr3:uid="{00000000-0010-0000-0800-000003000000}" name="Duração Máx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26" Type="http://schemas.openxmlformats.org/officeDocument/2006/relationships/table" Target="../tables/table23.xml"/><Relationship Id="rId3" Type="http://schemas.openxmlformats.org/officeDocument/2006/relationships/vmlDrawing" Target="../drawings/vmlDrawing3.vml"/><Relationship Id="rId21" Type="http://schemas.openxmlformats.org/officeDocument/2006/relationships/table" Target="../tables/table18.x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25" Type="http://schemas.openxmlformats.org/officeDocument/2006/relationships/table" Target="../tables/table22.xml"/><Relationship Id="rId2" Type="http://schemas.openxmlformats.org/officeDocument/2006/relationships/drawing" Target="../drawings/drawing2.xml"/><Relationship Id="rId16" Type="http://schemas.openxmlformats.org/officeDocument/2006/relationships/table" Target="../tables/table13.xml"/><Relationship Id="rId20" Type="http://schemas.openxmlformats.org/officeDocument/2006/relationships/table" Target="../tables/table17.xml"/><Relationship Id="rId29" Type="http://schemas.openxmlformats.org/officeDocument/2006/relationships/table" Target="../tables/table2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24" Type="http://schemas.openxmlformats.org/officeDocument/2006/relationships/table" Target="../tables/table21.xml"/><Relationship Id="rId32" Type="http://schemas.openxmlformats.org/officeDocument/2006/relationships/comments" Target="../comments2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23" Type="http://schemas.openxmlformats.org/officeDocument/2006/relationships/table" Target="../tables/table20.xml"/><Relationship Id="rId28" Type="http://schemas.openxmlformats.org/officeDocument/2006/relationships/table" Target="../tables/table25.xml"/><Relationship Id="rId10" Type="http://schemas.openxmlformats.org/officeDocument/2006/relationships/table" Target="../tables/table7.xml"/><Relationship Id="rId19" Type="http://schemas.openxmlformats.org/officeDocument/2006/relationships/table" Target="../tables/table16.xml"/><Relationship Id="rId31" Type="http://schemas.openxmlformats.org/officeDocument/2006/relationships/table" Target="../tables/table28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Relationship Id="rId22" Type="http://schemas.openxmlformats.org/officeDocument/2006/relationships/table" Target="../tables/table19.xml"/><Relationship Id="rId27" Type="http://schemas.openxmlformats.org/officeDocument/2006/relationships/table" Target="../tables/table24.xml"/><Relationship Id="rId30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51"/>
  <sheetViews>
    <sheetView showGridLines="0" view="pageLayout" zoomScale="130" zoomScaleNormal="100" zoomScalePageLayoutView="130" workbookViewId="0">
      <selection activeCell="R78" sqref="R78"/>
    </sheetView>
  </sheetViews>
  <sheetFormatPr defaultColWidth="0" defaultRowHeight="15" x14ac:dyDescent="0.25"/>
  <cols>
    <col min="1" max="1" width="1.28515625" customWidth="1"/>
    <col min="2" max="62" width="1.42578125" customWidth="1"/>
    <col min="63" max="63" width="1" customWidth="1"/>
    <col min="64" max="64" width="1.28515625" customWidth="1"/>
    <col min="65" max="67" width="1.42578125" hidden="1" customWidth="1"/>
    <col min="68" max="16384" width="9.140625" hidden="1"/>
  </cols>
  <sheetData>
    <row r="1" spans="1:63" x14ac:dyDescent="0.25">
      <c r="M1" s="28" t="s">
        <v>83</v>
      </c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63" s="9" customFormat="1" x14ac:dyDescent="0.25"/>
    <row r="3" spans="1:63" x14ac:dyDescent="0.25">
      <c r="A3" s="28" t="s">
        <v>149</v>
      </c>
    </row>
    <row r="4" spans="1:63" x14ac:dyDescent="0.25">
      <c r="A4" s="50" t="s">
        <v>84</v>
      </c>
      <c r="B4" s="17"/>
      <c r="C4" s="17"/>
      <c r="D4" s="17"/>
      <c r="E4" s="17"/>
      <c r="F4" s="17"/>
      <c r="G4" s="17"/>
      <c r="H4" s="17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7"/>
      <c r="AW4" s="16"/>
      <c r="AX4" s="54" t="s">
        <v>85</v>
      </c>
      <c r="AY4" s="17"/>
      <c r="AZ4" s="17"/>
      <c r="BA4" s="17"/>
      <c r="BB4" s="118">
        <f ca="1">TODAY()</f>
        <v>44859</v>
      </c>
      <c r="BC4" s="118"/>
      <c r="BD4" s="118"/>
      <c r="BE4" s="118"/>
      <c r="BF4" s="118"/>
      <c r="BG4" s="118"/>
      <c r="BH4" s="118"/>
      <c r="BI4" s="118"/>
      <c r="BJ4" s="118"/>
      <c r="BK4" s="119"/>
    </row>
    <row r="5" spans="1:63" x14ac:dyDescent="0.25">
      <c r="A5" s="51" t="s">
        <v>86</v>
      </c>
      <c r="B5" s="26"/>
      <c r="C5" s="26"/>
      <c r="D5" s="26"/>
      <c r="E5" s="26"/>
      <c r="F5" s="26"/>
      <c r="G5" s="26"/>
      <c r="H5" s="2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7"/>
      <c r="AW5" s="25"/>
      <c r="AX5" s="55" t="s">
        <v>87</v>
      </c>
      <c r="AY5" s="26"/>
      <c r="AZ5" s="26"/>
      <c r="BA5" s="26"/>
      <c r="BB5" s="114"/>
      <c r="BC5" s="114"/>
      <c r="BD5" s="114"/>
      <c r="BE5" s="114"/>
      <c r="BF5" s="114"/>
      <c r="BG5" s="114"/>
      <c r="BH5" s="114"/>
      <c r="BI5" s="114"/>
      <c r="BJ5" s="114"/>
      <c r="BK5" s="115"/>
    </row>
    <row r="6" spans="1:63" x14ac:dyDescent="0.25">
      <c r="A6" s="52" t="s">
        <v>88</v>
      </c>
      <c r="B6" s="23"/>
      <c r="C6" s="23"/>
      <c r="D6" s="23"/>
      <c r="E6" s="23"/>
      <c r="F6" s="116"/>
      <c r="G6" s="116"/>
      <c r="H6" s="116"/>
      <c r="I6" s="116"/>
      <c r="J6" s="116"/>
      <c r="K6" s="116"/>
      <c r="L6" s="116"/>
      <c r="M6" s="117"/>
      <c r="O6" s="57" t="s">
        <v>157</v>
      </c>
      <c r="P6" s="23"/>
      <c r="Q6" s="23"/>
      <c r="R6" s="23"/>
      <c r="S6" s="23"/>
      <c r="T6" s="116"/>
      <c r="U6" s="116"/>
      <c r="V6" s="116"/>
      <c r="W6" s="116"/>
      <c r="X6" s="116"/>
      <c r="Y6" s="116"/>
      <c r="Z6" s="116"/>
      <c r="AA6" s="117"/>
      <c r="AB6" s="53" t="s">
        <v>186</v>
      </c>
      <c r="AC6" s="26"/>
      <c r="AD6" s="26"/>
      <c r="AE6" s="26"/>
      <c r="AF6" s="26"/>
      <c r="AG6" s="26"/>
      <c r="AH6" s="26"/>
      <c r="AI6" s="26"/>
      <c r="AJ6" s="26"/>
      <c r="AN6" s="120">
        <v>455</v>
      </c>
      <c r="AO6" s="120"/>
      <c r="AP6" s="120"/>
      <c r="AQ6" s="120"/>
      <c r="AR6" s="120"/>
      <c r="AS6" s="17"/>
      <c r="AT6" s="17" t="s">
        <v>125</v>
      </c>
      <c r="AU6" s="20"/>
      <c r="AV6" s="20"/>
      <c r="AW6" s="52" t="s">
        <v>122</v>
      </c>
      <c r="AX6" s="23"/>
      <c r="AY6" s="23"/>
      <c r="AZ6" s="23"/>
      <c r="BA6" s="23"/>
      <c r="BB6" s="23"/>
      <c r="BC6" s="23"/>
      <c r="BD6" s="23"/>
      <c r="BE6" s="23"/>
      <c r="BF6" s="116" t="s">
        <v>13</v>
      </c>
      <c r="BG6" s="116"/>
      <c r="BH6" s="116"/>
      <c r="BI6" s="116"/>
      <c r="BJ6" s="116"/>
      <c r="BK6" s="117"/>
    </row>
    <row r="7" spans="1:63" x14ac:dyDescent="0.25">
      <c r="A7" s="53" t="s">
        <v>124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21">
        <v>500</v>
      </c>
      <c r="M7" s="121"/>
      <c r="N7" s="121"/>
      <c r="O7" s="121"/>
      <c r="P7" s="121"/>
      <c r="Q7" s="26"/>
      <c r="R7" s="26" t="s">
        <v>125</v>
      </c>
      <c r="S7" s="26"/>
      <c r="T7" s="26"/>
      <c r="U7" s="26"/>
      <c r="V7" s="26"/>
      <c r="W7" s="26"/>
      <c r="X7" s="51" t="s">
        <v>141</v>
      </c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123" t="str">
        <f>VLOOKUP(VALUE(L7),Tabela_Elos[],2)</f>
        <v>40K</v>
      </c>
      <c r="AM7" s="123"/>
      <c r="AN7" s="123"/>
      <c r="AO7" s="123"/>
      <c r="AP7" s="123"/>
      <c r="AQ7" s="123"/>
      <c r="AR7" s="123"/>
      <c r="AS7" s="123"/>
      <c r="AT7" s="123"/>
      <c r="AU7" s="123"/>
      <c r="AV7" s="124"/>
      <c r="AW7" s="25"/>
      <c r="AX7" s="55" t="s">
        <v>128</v>
      </c>
      <c r="AY7" s="26"/>
      <c r="AZ7" s="122">
        <f>AN6/(SQRT(3)*13.8*0.92)</f>
        <v>20.691113144398212</v>
      </c>
      <c r="BA7" s="122"/>
      <c r="BB7" s="122"/>
      <c r="BC7" s="122"/>
      <c r="BD7" s="122"/>
      <c r="BE7" s="66" t="s">
        <v>129</v>
      </c>
      <c r="BF7" s="26"/>
      <c r="BG7" s="26"/>
      <c r="BH7" s="26"/>
      <c r="BI7" s="26"/>
      <c r="BJ7" s="26"/>
      <c r="BK7" s="27"/>
    </row>
    <row r="9" spans="1:63" x14ac:dyDescent="0.25">
      <c r="A9" s="28" t="s">
        <v>152</v>
      </c>
      <c r="J9" s="28"/>
    </row>
    <row r="10" spans="1:63" x14ac:dyDescent="0.25">
      <c r="A10" s="16"/>
      <c r="B10" s="54" t="s">
        <v>18</v>
      </c>
      <c r="C10" s="17"/>
      <c r="D10" s="17"/>
      <c r="E10" s="17"/>
      <c r="F10" s="17"/>
      <c r="G10" s="18"/>
      <c r="H10" s="16" t="s">
        <v>138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25">
        <v>4000</v>
      </c>
      <c r="AD10" s="125"/>
      <c r="AE10" s="125"/>
      <c r="AF10" s="125"/>
      <c r="AG10" s="125"/>
      <c r="AH10" s="125"/>
      <c r="AI10" s="125"/>
      <c r="AJ10" s="63" t="s">
        <v>129</v>
      </c>
      <c r="AM10" s="9"/>
      <c r="AN10" s="9"/>
      <c r="AO10" s="9"/>
      <c r="AP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x14ac:dyDescent="0.25">
      <c r="A11" s="19"/>
      <c r="B11" s="56" t="s">
        <v>19</v>
      </c>
      <c r="C11" s="20"/>
      <c r="D11" s="20"/>
      <c r="E11" s="20"/>
      <c r="F11" s="20"/>
      <c r="G11" s="21"/>
      <c r="H11" s="19" t="s">
        <v>139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126">
        <v>200</v>
      </c>
      <c r="AD11" s="126"/>
      <c r="AE11" s="126"/>
      <c r="AF11" s="126"/>
      <c r="AG11" s="126"/>
      <c r="AH11" s="126"/>
      <c r="AI11" s="126"/>
      <c r="AJ11" s="64" t="s">
        <v>129</v>
      </c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x14ac:dyDescent="0.25">
      <c r="A12" s="22"/>
      <c r="B12" s="57" t="s">
        <v>20</v>
      </c>
      <c r="C12" s="23"/>
      <c r="D12" s="23"/>
      <c r="E12" s="23"/>
      <c r="F12" s="23"/>
      <c r="G12" s="24"/>
      <c r="H12" s="22" t="s">
        <v>140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127">
        <v>10</v>
      </c>
      <c r="AD12" s="127"/>
      <c r="AE12" s="127"/>
      <c r="AF12" s="127"/>
      <c r="AG12" s="127"/>
      <c r="AH12" s="127"/>
      <c r="AI12" s="127"/>
      <c r="AJ12" s="65" t="s">
        <v>129</v>
      </c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4" spans="1:63" x14ac:dyDescent="0.25">
      <c r="A14" s="28" t="s">
        <v>153</v>
      </c>
    </row>
    <row r="15" spans="1:63" x14ac:dyDescent="0.25">
      <c r="D15" s="16"/>
      <c r="E15" s="17" t="s">
        <v>3</v>
      </c>
      <c r="F15" s="17"/>
      <c r="G15" s="17"/>
      <c r="H15" s="17"/>
      <c r="I15" s="17"/>
      <c r="J15" s="17"/>
      <c r="K15" s="18"/>
      <c r="L15" s="16"/>
      <c r="M15" s="17" t="s">
        <v>8</v>
      </c>
      <c r="N15" s="17"/>
      <c r="O15" s="18"/>
      <c r="P15" s="16"/>
      <c r="Q15" s="17" t="s">
        <v>4</v>
      </c>
      <c r="R15" s="17"/>
      <c r="S15" s="17"/>
      <c r="T15" s="18"/>
      <c r="U15" s="16"/>
      <c r="V15" s="17" t="s">
        <v>10</v>
      </c>
      <c r="W15" s="17"/>
      <c r="X15" s="17"/>
      <c r="Y15" s="18"/>
      <c r="Z15" s="16"/>
      <c r="AA15" s="17" t="s">
        <v>9</v>
      </c>
      <c r="AB15" s="17"/>
      <c r="AC15" s="17"/>
      <c r="AD15" s="17"/>
      <c r="AE15" s="18"/>
      <c r="AF15" s="16"/>
      <c r="AG15" s="17" t="s">
        <v>7</v>
      </c>
      <c r="AH15" s="17"/>
      <c r="AI15" s="17"/>
      <c r="AJ15" s="17"/>
      <c r="AK15" s="18"/>
      <c r="AL15" s="16"/>
      <c r="AM15" s="88" t="s">
        <v>159</v>
      </c>
      <c r="AN15" s="17"/>
      <c r="AO15" s="17"/>
      <c r="AP15" s="17"/>
      <c r="AQ15" s="18"/>
      <c r="AR15" s="16"/>
      <c r="AS15" s="17" t="s">
        <v>143</v>
      </c>
      <c r="AT15" s="17"/>
      <c r="AU15" s="17"/>
      <c r="AV15" s="17"/>
      <c r="AW15" s="17"/>
      <c r="AX15" s="17"/>
      <c r="AY15" s="17"/>
      <c r="AZ15" s="17"/>
      <c r="BA15" s="18"/>
      <c r="BB15" s="17"/>
      <c r="BC15" s="17" t="s">
        <v>142</v>
      </c>
      <c r="BD15" s="17"/>
      <c r="BE15" s="17"/>
      <c r="BF15" s="17"/>
      <c r="BG15" s="17"/>
      <c r="BH15" s="17"/>
      <c r="BI15" s="17"/>
      <c r="BJ15" s="17"/>
      <c r="BK15" s="18"/>
    </row>
    <row r="16" spans="1:63" x14ac:dyDescent="0.25">
      <c r="A16" s="16" t="b">
        <f>NOT(ISBLANK(D16)+ISBLANK(L16)+ISBLANK(P16))</f>
        <v>1</v>
      </c>
      <c r="B16" s="167" t="s">
        <v>130</v>
      </c>
      <c r="C16" s="17" t="b">
        <f>Z16=MAX($Z$16:$AD$21)</f>
        <v>1</v>
      </c>
      <c r="D16" s="131">
        <v>500</v>
      </c>
      <c r="E16" s="126"/>
      <c r="F16" s="126"/>
      <c r="G16" s="126"/>
      <c r="H16" s="126"/>
      <c r="I16" s="20" t="s">
        <v>135</v>
      </c>
      <c r="J16" s="20"/>
      <c r="K16" s="21"/>
      <c r="L16" s="131">
        <v>5</v>
      </c>
      <c r="M16" s="126"/>
      <c r="N16" s="126"/>
      <c r="O16" s="67" t="s">
        <v>144</v>
      </c>
      <c r="P16" s="128" t="s">
        <v>158</v>
      </c>
      <c r="Q16" s="129"/>
      <c r="R16" s="129"/>
      <c r="S16" s="129"/>
      <c r="T16" s="130"/>
      <c r="U16" s="134">
        <f>IF(A16,D16/(0.92*SQRT(3)*13.8),"")</f>
        <v>22.737486971866169</v>
      </c>
      <c r="V16" s="135"/>
      <c r="W16" s="135"/>
      <c r="X16" s="135"/>
      <c r="Y16" s="91" t="s">
        <v>129</v>
      </c>
      <c r="Z16" s="106">
        <f>IF(A16,VLOOKUP(P16,Tabela_TipoTrafo[],2,FALSE)*D16/(SQRT(3)*13.8),"")</f>
        <v>167.347904112935</v>
      </c>
      <c r="AA16" s="107"/>
      <c r="AB16" s="107"/>
      <c r="AC16" s="107"/>
      <c r="AD16" s="107"/>
      <c r="AE16" s="91" t="s">
        <v>129</v>
      </c>
      <c r="AF16" s="106">
        <f>IF(A16,U16*100/L16,"")</f>
        <v>454.7497394373234</v>
      </c>
      <c r="AG16" s="107"/>
      <c r="AH16" s="107"/>
      <c r="AI16" s="107"/>
      <c r="AJ16" s="107"/>
      <c r="AK16" s="91" t="s">
        <v>129</v>
      </c>
      <c r="AL16" s="106">
        <f>IF(A16,AF16*0.58,"")</f>
        <v>263.75484887364757</v>
      </c>
      <c r="AM16" s="107"/>
      <c r="AN16" s="107"/>
      <c r="AO16" s="107"/>
      <c r="AP16" s="107"/>
      <c r="AQ16" s="91" t="s">
        <v>129</v>
      </c>
      <c r="AR16" s="112">
        <f>IF(A16,VLOOKUP(L16,Tabela_Impedancia[],2)*U16,"")</f>
        <v>454.74973943732334</v>
      </c>
      <c r="AS16" s="113"/>
      <c r="AT16" s="113"/>
      <c r="AU16" s="113"/>
      <c r="AV16" s="113"/>
      <c r="AW16" s="113"/>
      <c r="AX16" s="113"/>
      <c r="AY16" s="113"/>
      <c r="AZ16" s="113"/>
      <c r="BA16" s="91" t="s">
        <v>129</v>
      </c>
      <c r="BB16" s="100">
        <f>IF(A16,VLOOKUP(L16,Tabela_Impedancia[],3),"")</f>
        <v>3</v>
      </c>
      <c r="BC16" s="101"/>
      <c r="BD16" s="101"/>
      <c r="BE16" s="101"/>
      <c r="BF16" s="101"/>
      <c r="BG16" s="101"/>
      <c r="BH16" s="101"/>
      <c r="BI16" s="101"/>
      <c r="BJ16" s="101"/>
      <c r="BK16" s="91" t="s">
        <v>185</v>
      </c>
    </row>
    <row r="17" spans="1:63" x14ac:dyDescent="0.25">
      <c r="A17" s="69" t="b">
        <f>NOT(ISBLANK(D17)+ISBLANK(L17)+ISBLANK(P17))</f>
        <v>0</v>
      </c>
      <c r="B17" s="168" t="s">
        <v>131</v>
      </c>
      <c r="C17" s="70" t="b">
        <f t="shared" ref="C17:C21" si="0">Z17=MAX($Z$16:$AD$21)</f>
        <v>0</v>
      </c>
      <c r="D17" s="132"/>
      <c r="E17" s="133"/>
      <c r="F17" s="133"/>
      <c r="G17" s="133"/>
      <c r="H17" s="133"/>
      <c r="I17" s="70" t="s">
        <v>135</v>
      </c>
      <c r="J17" s="70"/>
      <c r="K17" s="71"/>
      <c r="L17" s="132"/>
      <c r="M17" s="133"/>
      <c r="N17" s="133"/>
      <c r="O17" s="72" t="s">
        <v>144</v>
      </c>
      <c r="P17" s="132"/>
      <c r="Q17" s="133"/>
      <c r="R17" s="133"/>
      <c r="S17" s="133"/>
      <c r="T17" s="138"/>
      <c r="U17" s="136" t="str">
        <f t="shared" ref="U17:U21" si="1">IF(A17,D17/(0.92*SQRT(3)*13.8),"")</f>
        <v/>
      </c>
      <c r="V17" s="137"/>
      <c r="W17" s="137"/>
      <c r="X17" s="137"/>
      <c r="Y17" s="92" t="s">
        <v>129</v>
      </c>
      <c r="Z17" s="108" t="str">
        <f>IF(A17,VLOOKUP(P17,Tabela_TipoTrafo[],2,FALSE)*D17/(SQRT(3)*13.8),"")</f>
        <v/>
      </c>
      <c r="AA17" s="109"/>
      <c r="AB17" s="109"/>
      <c r="AC17" s="109"/>
      <c r="AD17" s="109"/>
      <c r="AE17" s="92" t="s">
        <v>129</v>
      </c>
      <c r="AF17" s="108" t="str">
        <f t="shared" ref="AF17:AF21" si="2">IF(A17,U17*100/L17,"")</f>
        <v/>
      </c>
      <c r="AG17" s="109"/>
      <c r="AH17" s="109"/>
      <c r="AI17" s="109"/>
      <c r="AJ17" s="109"/>
      <c r="AK17" s="92" t="s">
        <v>129</v>
      </c>
      <c r="AL17" s="106" t="str">
        <f t="shared" ref="AL17:AL18" si="3">IF(A17,AF17*0.58,"")</f>
        <v/>
      </c>
      <c r="AM17" s="107"/>
      <c r="AN17" s="107"/>
      <c r="AO17" s="107"/>
      <c r="AP17" s="107"/>
      <c r="AQ17" s="92" t="s">
        <v>129</v>
      </c>
      <c r="AR17" s="94" t="str">
        <f>IF(A17,VLOOKUP(L17,Tabela_Impedancia[],2)*U17,"")</f>
        <v/>
      </c>
      <c r="AS17" s="95"/>
      <c r="AT17" s="95"/>
      <c r="AU17" s="95"/>
      <c r="AV17" s="95"/>
      <c r="AW17" s="95"/>
      <c r="AX17" s="95"/>
      <c r="AY17" s="95"/>
      <c r="AZ17" s="95"/>
      <c r="BA17" s="92" t="s">
        <v>129</v>
      </c>
      <c r="BB17" s="100" t="str">
        <f>IF(A17,VLOOKUP(L17,Tabela_Impedancia[],3),"")</f>
        <v/>
      </c>
      <c r="BC17" s="101"/>
      <c r="BD17" s="101"/>
      <c r="BE17" s="101"/>
      <c r="BF17" s="101"/>
      <c r="BG17" s="101"/>
      <c r="BH17" s="101"/>
      <c r="BI17" s="101"/>
      <c r="BJ17" s="101"/>
      <c r="BK17" s="92" t="s">
        <v>185</v>
      </c>
    </row>
    <row r="18" spans="1:63" x14ac:dyDescent="0.25">
      <c r="A18" s="69" t="b">
        <f t="shared" ref="A18:A21" si="4">NOT(ISBLANK(D18)+ISBLANK(L18)+ISBLANK(P18))</f>
        <v>0</v>
      </c>
      <c r="B18" s="168" t="s">
        <v>132</v>
      </c>
      <c r="C18" s="70" t="b">
        <f t="shared" si="0"/>
        <v>0</v>
      </c>
      <c r="D18" s="132"/>
      <c r="E18" s="133"/>
      <c r="F18" s="133"/>
      <c r="G18" s="133"/>
      <c r="H18" s="133"/>
      <c r="I18" s="70" t="s">
        <v>135</v>
      </c>
      <c r="J18" s="70"/>
      <c r="K18" s="71"/>
      <c r="L18" s="132"/>
      <c r="M18" s="133"/>
      <c r="N18" s="133"/>
      <c r="O18" s="72" t="s">
        <v>144</v>
      </c>
      <c r="P18" s="132"/>
      <c r="Q18" s="133"/>
      <c r="R18" s="133"/>
      <c r="S18" s="133"/>
      <c r="T18" s="138"/>
      <c r="U18" s="96" t="str">
        <f t="shared" si="1"/>
        <v/>
      </c>
      <c r="V18" s="97"/>
      <c r="W18" s="97"/>
      <c r="X18" s="97"/>
      <c r="Y18" s="92" t="s">
        <v>129</v>
      </c>
      <c r="Z18" s="108" t="str">
        <f>IF(A18,VLOOKUP(P18,Tabela_TipoTrafo[],2,FALSE)*D18/(SQRT(3)*13.8),"")</f>
        <v/>
      </c>
      <c r="AA18" s="109"/>
      <c r="AB18" s="109"/>
      <c r="AC18" s="109"/>
      <c r="AD18" s="109"/>
      <c r="AE18" s="92" t="s">
        <v>129</v>
      </c>
      <c r="AF18" s="108" t="str">
        <f t="shared" si="2"/>
        <v/>
      </c>
      <c r="AG18" s="109"/>
      <c r="AH18" s="109"/>
      <c r="AI18" s="109"/>
      <c r="AJ18" s="109"/>
      <c r="AK18" s="92" t="s">
        <v>129</v>
      </c>
      <c r="AL18" s="106" t="str">
        <f t="shared" si="3"/>
        <v/>
      </c>
      <c r="AM18" s="107"/>
      <c r="AN18" s="107"/>
      <c r="AO18" s="107"/>
      <c r="AP18" s="107"/>
      <c r="AQ18" s="92" t="s">
        <v>129</v>
      </c>
      <c r="AR18" s="94" t="str">
        <f>IF(A18,VLOOKUP(L18,Tabela_Impedancia[],2)*U18,"")</f>
        <v/>
      </c>
      <c r="AS18" s="95"/>
      <c r="AT18" s="95"/>
      <c r="AU18" s="95"/>
      <c r="AV18" s="95"/>
      <c r="AW18" s="95"/>
      <c r="AX18" s="95"/>
      <c r="AY18" s="95"/>
      <c r="AZ18" s="95"/>
      <c r="BA18" s="92" t="s">
        <v>129</v>
      </c>
      <c r="BB18" s="96" t="str">
        <f>IF(A18,VLOOKUP(L18,Tabela_Impedancia[],3),"")</f>
        <v/>
      </c>
      <c r="BC18" s="97"/>
      <c r="BD18" s="97"/>
      <c r="BE18" s="97"/>
      <c r="BF18" s="97"/>
      <c r="BG18" s="97"/>
      <c r="BH18" s="97"/>
      <c r="BI18" s="97"/>
      <c r="BJ18" s="97"/>
      <c r="BK18" s="92" t="s">
        <v>185</v>
      </c>
    </row>
    <row r="19" spans="1:63" x14ac:dyDescent="0.25">
      <c r="A19" s="69" t="b">
        <f t="shared" si="4"/>
        <v>0</v>
      </c>
      <c r="B19" s="168" t="s">
        <v>133</v>
      </c>
      <c r="C19" s="70" t="b">
        <f t="shared" si="0"/>
        <v>0</v>
      </c>
      <c r="D19" s="132"/>
      <c r="E19" s="133"/>
      <c r="F19" s="133"/>
      <c r="G19" s="133"/>
      <c r="H19" s="133"/>
      <c r="I19" s="70" t="s">
        <v>135</v>
      </c>
      <c r="J19" s="70"/>
      <c r="K19" s="71"/>
      <c r="L19" s="132"/>
      <c r="M19" s="133"/>
      <c r="N19" s="133"/>
      <c r="O19" s="72" t="s">
        <v>144</v>
      </c>
      <c r="P19" s="132"/>
      <c r="Q19" s="133"/>
      <c r="R19" s="133"/>
      <c r="S19" s="133"/>
      <c r="T19" s="138"/>
      <c r="U19" s="96" t="str">
        <f t="shared" si="1"/>
        <v/>
      </c>
      <c r="V19" s="97"/>
      <c r="W19" s="97"/>
      <c r="X19" s="97"/>
      <c r="Y19" s="92" t="s">
        <v>129</v>
      </c>
      <c r="Z19" s="108" t="str">
        <f>IF(A19,VLOOKUP(P19,Tabela_TipoTrafo[],2,FALSE)*D19/(SQRT(3)*13.8),"")</f>
        <v/>
      </c>
      <c r="AA19" s="109"/>
      <c r="AB19" s="109"/>
      <c r="AC19" s="109"/>
      <c r="AD19" s="109"/>
      <c r="AE19" s="92" t="s">
        <v>129</v>
      </c>
      <c r="AF19" s="108" t="str">
        <f t="shared" si="2"/>
        <v/>
      </c>
      <c r="AG19" s="109"/>
      <c r="AH19" s="109"/>
      <c r="AI19" s="109"/>
      <c r="AJ19" s="109"/>
      <c r="AK19" s="92" t="s">
        <v>129</v>
      </c>
      <c r="AL19" s="108" t="str">
        <f>IF(G19,0.58*100*J19/(SQRT(3)*R19*13.8),"")</f>
        <v/>
      </c>
      <c r="AM19" s="109"/>
      <c r="AN19" s="109"/>
      <c r="AO19" s="109"/>
      <c r="AP19" s="109"/>
      <c r="AQ19" s="92" t="s">
        <v>129</v>
      </c>
      <c r="AR19" s="94" t="str">
        <f>IF(A19,VLOOKUP(L19,Tabela_Impedancia[],2)*U19,"")</f>
        <v/>
      </c>
      <c r="AS19" s="95"/>
      <c r="AT19" s="95"/>
      <c r="AU19" s="95"/>
      <c r="AV19" s="95"/>
      <c r="AW19" s="95"/>
      <c r="AX19" s="95"/>
      <c r="AY19" s="95"/>
      <c r="AZ19" s="95"/>
      <c r="BA19" s="92" t="s">
        <v>129</v>
      </c>
      <c r="BB19" s="96" t="str">
        <f>IF(A19,VLOOKUP(L19,Tabela_Impedancia[],3),"")</f>
        <v/>
      </c>
      <c r="BC19" s="97"/>
      <c r="BD19" s="97"/>
      <c r="BE19" s="97"/>
      <c r="BF19" s="97"/>
      <c r="BG19" s="97"/>
      <c r="BH19" s="97"/>
      <c r="BI19" s="97"/>
      <c r="BJ19" s="97"/>
      <c r="BK19" s="92" t="s">
        <v>185</v>
      </c>
    </row>
    <row r="20" spans="1:63" x14ac:dyDescent="0.25">
      <c r="A20" s="69" t="b">
        <f t="shared" si="4"/>
        <v>0</v>
      </c>
      <c r="B20" s="168" t="s">
        <v>121</v>
      </c>
      <c r="C20" s="70" t="b">
        <f t="shared" si="0"/>
        <v>0</v>
      </c>
      <c r="D20" s="132"/>
      <c r="E20" s="133"/>
      <c r="F20" s="133"/>
      <c r="G20" s="133"/>
      <c r="H20" s="133"/>
      <c r="I20" s="70" t="s">
        <v>135</v>
      </c>
      <c r="J20" s="70"/>
      <c r="K20" s="71"/>
      <c r="L20" s="132"/>
      <c r="M20" s="133"/>
      <c r="N20" s="133"/>
      <c r="O20" s="72" t="s">
        <v>144</v>
      </c>
      <c r="P20" s="132"/>
      <c r="Q20" s="133"/>
      <c r="R20" s="133"/>
      <c r="S20" s="133"/>
      <c r="T20" s="138"/>
      <c r="U20" s="96" t="str">
        <f t="shared" si="1"/>
        <v/>
      </c>
      <c r="V20" s="97"/>
      <c r="W20" s="97"/>
      <c r="X20" s="97"/>
      <c r="Y20" s="92" t="s">
        <v>129</v>
      </c>
      <c r="Z20" s="108" t="str">
        <f>IF(A20,VLOOKUP(P20,Tabela_TipoTrafo[],2,FALSE)*D20/(SQRT(3)*13.8),"")</f>
        <v/>
      </c>
      <c r="AA20" s="109"/>
      <c r="AB20" s="109"/>
      <c r="AC20" s="109"/>
      <c r="AD20" s="109"/>
      <c r="AE20" s="92" t="s">
        <v>129</v>
      </c>
      <c r="AF20" s="108" t="str">
        <f t="shared" si="2"/>
        <v/>
      </c>
      <c r="AG20" s="109"/>
      <c r="AH20" s="109"/>
      <c r="AI20" s="109"/>
      <c r="AJ20" s="109"/>
      <c r="AK20" s="92" t="s">
        <v>129</v>
      </c>
      <c r="AL20" s="108" t="str">
        <f>IF(G20,0.58*100*J20/(SQRT(3)*R20*13.8),"")</f>
        <v/>
      </c>
      <c r="AM20" s="109"/>
      <c r="AN20" s="109"/>
      <c r="AO20" s="109"/>
      <c r="AP20" s="109"/>
      <c r="AQ20" s="92" t="s">
        <v>129</v>
      </c>
      <c r="AR20" s="94" t="str">
        <f>IF(A20,VLOOKUP(L20,Tabela_Impedancia[],2)*U20,"")</f>
        <v/>
      </c>
      <c r="AS20" s="95"/>
      <c r="AT20" s="95"/>
      <c r="AU20" s="95"/>
      <c r="AV20" s="95"/>
      <c r="AW20" s="95"/>
      <c r="AX20" s="95"/>
      <c r="AY20" s="95"/>
      <c r="AZ20" s="95"/>
      <c r="BA20" s="92" t="s">
        <v>129</v>
      </c>
      <c r="BB20" s="96" t="str">
        <f>IF(A20,VLOOKUP(L20,Tabela_Impedancia[],3),"")</f>
        <v/>
      </c>
      <c r="BC20" s="97"/>
      <c r="BD20" s="97"/>
      <c r="BE20" s="97"/>
      <c r="BF20" s="97"/>
      <c r="BG20" s="97"/>
      <c r="BH20" s="97"/>
      <c r="BI20" s="97"/>
      <c r="BJ20" s="97"/>
      <c r="BK20" s="92" t="s">
        <v>185</v>
      </c>
    </row>
    <row r="21" spans="1:63" x14ac:dyDescent="0.25">
      <c r="A21" s="22" t="b">
        <f t="shared" si="4"/>
        <v>0</v>
      </c>
      <c r="B21" s="169" t="s">
        <v>134</v>
      </c>
      <c r="C21" s="23" t="b">
        <f t="shared" si="0"/>
        <v>0</v>
      </c>
      <c r="D21" s="141"/>
      <c r="E21" s="142"/>
      <c r="F21" s="142"/>
      <c r="G21" s="142"/>
      <c r="H21" s="142"/>
      <c r="I21" s="23" t="s">
        <v>135</v>
      </c>
      <c r="J21" s="23"/>
      <c r="K21" s="24"/>
      <c r="L21" s="141"/>
      <c r="M21" s="142"/>
      <c r="N21" s="142"/>
      <c r="O21" s="68" t="s">
        <v>144</v>
      </c>
      <c r="P21" s="141"/>
      <c r="Q21" s="142"/>
      <c r="R21" s="142"/>
      <c r="S21" s="142"/>
      <c r="T21" s="143"/>
      <c r="U21" s="139" t="str">
        <f t="shared" si="1"/>
        <v/>
      </c>
      <c r="V21" s="140"/>
      <c r="W21" s="140"/>
      <c r="X21" s="140"/>
      <c r="Y21" s="93" t="s">
        <v>129</v>
      </c>
      <c r="Z21" s="110" t="str">
        <f>IF(A21,VLOOKUP(P21,Tabela_TipoTrafo[],2,FALSE)*D21/(SQRT(3)*13.8),"")</f>
        <v/>
      </c>
      <c r="AA21" s="111"/>
      <c r="AB21" s="111"/>
      <c r="AC21" s="111"/>
      <c r="AD21" s="111"/>
      <c r="AE21" s="93" t="s">
        <v>129</v>
      </c>
      <c r="AF21" s="110" t="str">
        <f t="shared" si="2"/>
        <v/>
      </c>
      <c r="AG21" s="111"/>
      <c r="AH21" s="111"/>
      <c r="AI21" s="111"/>
      <c r="AJ21" s="111"/>
      <c r="AK21" s="93" t="s">
        <v>129</v>
      </c>
      <c r="AL21" s="110" t="str">
        <f>IF(G21,0.58*100*J21/(SQRT(3)*R21*13.8),"")</f>
        <v/>
      </c>
      <c r="AM21" s="111"/>
      <c r="AN21" s="111"/>
      <c r="AO21" s="111"/>
      <c r="AP21" s="111"/>
      <c r="AQ21" s="93" t="s">
        <v>129</v>
      </c>
      <c r="AR21" s="98" t="str">
        <f>IF(A21,VLOOKUP(L21,Tabela_Impedancia[],2)*U21,"")</f>
        <v/>
      </c>
      <c r="AS21" s="99"/>
      <c r="AT21" s="99"/>
      <c r="AU21" s="99"/>
      <c r="AV21" s="99"/>
      <c r="AW21" s="99"/>
      <c r="AX21" s="99"/>
      <c r="AY21" s="99"/>
      <c r="AZ21" s="99"/>
      <c r="BA21" s="93" t="s">
        <v>129</v>
      </c>
      <c r="BB21" s="98" t="str">
        <f>IF(A21,VLOOKUP(L21,Tabela_Impedancia[],3),"")</f>
        <v/>
      </c>
      <c r="BC21" s="99"/>
      <c r="BD21" s="99"/>
      <c r="BE21" s="99"/>
      <c r="BF21" s="99"/>
      <c r="BG21" s="99"/>
      <c r="BH21" s="99"/>
      <c r="BI21" s="99"/>
      <c r="BJ21" s="99"/>
      <c r="BK21" s="93" t="s">
        <v>185</v>
      </c>
    </row>
    <row r="23" spans="1:63" x14ac:dyDescent="0.25">
      <c r="A23" s="28" t="s">
        <v>154</v>
      </c>
    </row>
    <row r="24" spans="1:63" x14ac:dyDescent="0.25">
      <c r="B24" s="28" t="s">
        <v>155</v>
      </c>
    </row>
    <row r="25" spans="1:63" x14ac:dyDescent="0.25">
      <c r="A25" s="51" t="s">
        <v>89</v>
      </c>
      <c r="B25" s="26"/>
      <c r="C25" s="26"/>
      <c r="D25" s="26"/>
      <c r="E25" s="26"/>
      <c r="F25" s="26"/>
      <c r="G25" s="26"/>
      <c r="H25" s="116" t="s">
        <v>93</v>
      </c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7"/>
      <c r="V25" s="25"/>
      <c r="W25" s="55" t="s">
        <v>90</v>
      </c>
      <c r="X25" s="26"/>
      <c r="Y25" s="26"/>
      <c r="Z25" s="26"/>
      <c r="AA25" s="29" t="s">
        <v>94</v>
      </c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73"/>
      <c r="AV25" s="25"/>
      <c r="AW25" s="26"/>
      <c r="AX25" s="26"/>
      <c r="AY25" s="26"/>
      <c r="AZ25" s="26"/>
      <c r="BA25" s="26" t="s">
        <v>96</v>
      </c>
      <c r="BB25" s="26"/>
      <c r="BC25" s="26"/>
      <c r="BD25" s="17"/>
      <c r="BE25" s="17"/>
      <c r="BF25" s="17"/>
      <c r="BG25" s="17"/>
      <c r="BH25" s="17"/>
      <c r="BI25" s="17"/>
      <c r="BJ25" s="17"/>
      <c r="BK25" s="18"/>
    </row>
    <row r="26" spans="1:63" x14ac:dyDescent="0.25">
      <c r="A26" s="50" t="s">
        <v>92</v>
      </c>
      <c r="C26" s="103">
        <v>200</v>
      </c>
      <c r="D26" s="103"/>
      <c r="E26" s="103"/>
      <c r="F26" s="103"/>
      <c r="G26" s="35" t="s">
        <v>161</v>
      </c>
      <c r="H26" s="26"/>
      <c r="I26" s="62"/>
      <c r="J26" s="102">
        <f>IF(ISNUMBER(AC10),INDEX(Tabela_PadroesTCs[TC_alta],MATCH(AC10/20,Tabela_PadroesTCs[TC_alta],-1)),"")</f>
        <v>200</v>
      </c>
      <c r="K26" s="102"/>
      <c r="L26" s="102"/>
      <c r="M26" s="102"/>
      <c r="N26" t="s">
        <v>160</v>
      </c>
      <c r="O26" s="74"/>
      <c r="P26" s="51" t="s">
        <v>126</v>
      </c>
      <c r="Q26" s="26"/>
      <c r="R26" s="26"/>
      <c r="S26" s="104">
        <f>C26/5</f>
        <v>40</v>
      </c>
      <c r="T26" s="104"/>
      <c r="U26" s="105"/>
      <c r="V26" s="52"/>
      <c r="W26" s="23" t="s">
        <v>91</v>
      </c>
      <c r="X26" s="23"/>
      <c r="Y26" s="23"/>
      <c r="Z26" s="23"/>
      <c r="AA26" s="23"/>
      <c r="AB26" s="29" t="s">
        <v>95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73"/>
      <c r="AV26" s="25"/>
      <c r="AW26" s="26"/>
      <c r="AX26" s="26" t="s">
        <v>76</v>
      </c>
      <c r="AY26" s="26"/>
      <c r="AZ26" s="26"/>
      <c r="BA26" s="26"/>
      <c r="BB26" s="26"/>
      <c r="BC26" s="26"/>
      <c r="BD26" s="16"/>
      <c r="BE26" s="17"/>
      <c r="BF26" s="17" t="s">
        <v>77</v>
      </c>
      <c r="BG26" s="17"/>
      <c r="BH26" s="17"/>
      <c r="BI26" s="17"/>
      <c r="BJ26" s="17"/>
      <c r="BK26" s="18"/>
    </row>
    <row r="27" spans="1:63" x14ac:dyDescent="0.25">
      <c r="A27" s="41"/>
      <c r="B27" s="42"/>
      <c r="C27" s="42"/>
      <c r="D27" s="43"/>
      <c r="E27" s="17"/>
      <c r="F27" s="17" t="s">
        <v>11</v>
      </c>
      <c r="G27" s="17"/>
      <c r="H27" s="17"/>
      <c r="I27" s="17"/>
      <c r="J27" s="17"/>
      <c r="K27" s="17"/>
      <c r="L27" s="17"/>
      <c r="M27" s="17"/>
      <c r="N27" s="17"/>
      <c r="O27" s="18"/>
      <c r="P27" s="16" t="s">
        <v>97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8"/>
      <c r="AV27" s="155">
        <f>IFERROR($AZ$7*VLOOKUP($BF$6,Tabela_TipoConsumidor[],2,FALSE),"")</f>
        <v>22.760224458838035</v>
      </c>
      <c r="AW27" s="156"/>
      <c r="AX27" s="156"/>
      <c r="AY27" s="156"/>
      <c r="AZ27" s="156"/>
      <c r="BA27" s="156"/>
      <c r="BB27" s="156"/>
      <c r="BC27" s="157"/>
      <c r="BD27" s="155">
        <f>IFERROR(AV27/3,"")</f>
        <v>7.5867414862793447</v>
      </c>
      <c r="BE27" s="156"/>
      <c r="BF27" s="156"/>
      <c r="BG27" s="156"/>
      <c r="BH27" s="156"/>
      <c r="BI27" s="156"/>
      <c r="BJ27" s="156"/>
      <c r="BK27" s="157"/>
    </row>
    <row r="28" spans="1:63" x14ac:dyDescent="0.25">
      <c r="A28" s="30"/>
      <c r="B28" s="31"/>
      <c r="C28" s="31"/>
      <c r="D28" s="32"/>
      <c r="E28" s="25"/>
      <c r="F28" s="26" t="s">
        <v>98</v>
      </c>
      <c r="G28" s="26"/>
      <c r="H28" s="26"/>
      <c r="I28" s="26"/>
      <c r="J28" s="26"/>
      <c r="K28" s="26"/>
      <c r="L28" s="26"/>
      <c r="M28" s="26"/>
      <c r="N28" s="26"/>
      <c r="O28" s="27"/>
      <c r="P28" s="25" t="s">
        <v>136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7"/>
      <c r="AV28" s="152" t="s">
        <v>36</v>
      </c>
      <c r="AW28" s="153"/>
      <c r="AX28" s="153"/>
      <c r="AY28" s="153"/>
      <c r="AZ28" s="153"/>
      <c r="BA28" s="153"/>
      <c r="BB28" s="153"/>
      <c r="BC28" s="154"/>
      <c r="BD28" s="152" t="s">
        <v>36</v>
      </c>
      <c r="BE28" s="153"/>
      <c r="BF28" s="153"/>
      <c r="BG28" s="153"/>
      <c r="BH28" s="153"/>
      <c r="BI28" s="153"/>
      <c r="BJ28" s="153"/>
      <c r="BK28" s="154"/>
    </row>
    <row r="29" spans="1:63" x14ac:dyDescent="0.25">
      <c r="A29" s="30"/>
      <c r="B29" s="33" t="s">
        <v>118</v>
      </c>
      <c r="C29" s="31"/>
      <c r="D29" s="32"/>
      <c r="E29" s="20"/>
      <c r="F29" s="20" t="s">
        <v>99</v>
      </c>
      <c r="G29" s="20"/>
      <c r="H29" s="20"/>
      <c r="I29" s="20"/>
      <c r="J29" s="20"/>
      <c r="K29" s="20"/>
      <c r="L29" s="20"/>
      <c r="M29" s="20"/>
      <c r="N29" s="20"/>
      <c r="O29" s="21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1"/>
      <c r="AV29" s="158">
        <v>0.2</v>
      </c>
      <c r="AW29" s="159"/>
      <c r="AX29" s="159"/>
      <c r="AY29" s="159"/>
      <c r="AZ29" s="159"/>
      <c r="BA29" s="159"/>
      <c r="BB29" s="159"/>
      <c r="BC29" s="160"/>
      <c r="BD29" s="158">
        <v>0.2</v>
      </c>
      <c r="BE29" s="159"/>
      <c r="BF29" s="159"/>
      <c r="BG29" s="159"/>
      <c r="BH29" s="159"/>
      <c r="BI29" s="159"/>
      <c r="BJ29" s="159"/>
      <c r="BK29" s="160"/>
    </row>
    <row r="30" spans="1:63" x14ac:dyDescent="0.25">
      <c r="A30" s="30"/>
      <c r="B30" s="31"/>
      <c r="C30" s="31"/>
      <c r="D30" s="32"/>
      <c r="E30" s="25"/>
      <c r="F30" s="38" t="s">
        <v>100</v>
      </c>
      <c r="G30" s="26"/>
      <c r="H30" s="26"/>
      <c r="I30" s="26"/>
      <c r="J30" s="26"/>
      <c r="K30" s="26"/>
      <c r="L30" s="26"/>
      <c r="M30" s="26"/>
      <c r="N30" s="26"/>
      <c r="O30" s="27"/>
      <c r="P30" s="25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7"/>
      <c r="AV30" s="25"/>
      <c r="AW30" s="26" t="s">
        <v>101</v>
      </c>
      <c r="AX30" s="26"/>
      <c r="AY30" s="26"/>
      <c r="AZ30" s="26"/>
      <c r="BA30" s="26"/>
      <c r="BB30" s="26"/>
      <c r="BC30" s="26"/>
      <c r="BD30" s="25"/>
      <c r="BE30" s="26"/>
      <c r="BF30" s="26" t="s">
        <v>101</v>
      </c>
      <c r="BG30" s="26"/>
      <c r="BH30" s="26"/>
      <c r="BI30" s="26"/>
      <c r="BJ30" s="26"/>
      <c r="BK30" s="27"/>
    </row>
    <row r="31" spans="1:63" x14ac:dyDescent="0.25">
      <c r="A31" s="30"/>
      <c r="B31" s="31"/>
      <c r="C31" s="31"/>
      <c r="D31" s="32"/>
      <c r="E31" s="25"/>
      <c r="F31" s="38" t="s">
        <v>102</v>
      </c>
      <c r="G31" s="26"/>
      <c r="H31" s="26"/>
      <c r="I31" s="26"/>
      <c r="J31" s="26"/>
      <c r="K31" s="26"/>
      <c r="L31" s="26"/>
      <c r="M31" s="26"/>
      <c r="N31" s="26"/>
      <c r="O31" s="27"/>
      <c r="P31" s="25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7"/>
      <c r="AV31" s="22"/>
      <c r="AW31" s="26" t="s">
        <v>101</v>
      </c>
      <c r="AX31" s="26"/>
      <c r="AY31" s="26"/>
      <c r="AZ31" s="26"/>
      <c r="BA31" s="26"/>
      <c r="BB31" s="26"/>
      <c r="BC31" s="26"/>
      <c r="BD31" s="22"/>
      <c r="BE31" s="23"/>
      <c r="BF31" s="23" t="s">
        <v>101</v>
      </c>
      <c r="BG31" s="23"/>
      <c r="BH31" s="23"/>
      <c r="BI31" s="23"/>
      <c r="BJ31" s="23"/>
      <c r="BK31" s="24"/>
    </row>
    <row r="32" spans="1:63" x14ac:dyDescent="0.25">
      <c r="A32" s="44"/>
      <c r="B32" s="45"/>
      <c r="C32" s="45"/>
      <c r="D32" s="46"/>
      <c r="E32" s="23"/>
      <c r="F32" s="23" t="s">
        <v>9</v>
      </c>
      <c r="G32" s="23"/>
      <c r="H32" s="23"/>
      <c r="I32" s="23"/>
      <c r="J32" s="23"/>
      <c r="K32" s="23"/>
      <c r="L32" s="23"/>
      <c r="M32" s="23"/>
      <c r="N32" s="23"/>
      <c r="O32" s="24"/>
      <c r="P32" s="22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4"/>
      <c r="AV32" s="144">
        <f>MAX($Z$16:$AD$21)+SUMIF(C16:C21,FALSE,U16:X21)</f>
        <v>167.347904112935</v>
      </c>
      <c r="AW32" s="145"/>
      <c r="AX32" s="145"/>
      <c r="AY32" s="145"/>
      <c r="AZ32" s="145"/>
      <c r="BA32" s="145"/>
      <c r="BB32" s="145"/>
      <c r="BC32" s="146"/>
      <c r="BD32" s="147">
        <f>AV32/3</f>
        <v>55.782634704311668</v>
      </c>
      <c r="BE32" s="148"/>
      <c r="BF32" s="148"/>
      <c r="BG32" s="148"/>
      <c r="BH32" s="148"/>
      <c r="BI32" s="148"/>
      <c r="BJ32" s="148"/>
      <c r="BK32" s="149"/>
    </row>
    <row r="33" spans="1:63" x14ac:dyDescent="0.25">
      <c r="A33" s="34">
        <v>50</v>
      </c>
      <c r="B33" s="37" t="s">
        <v>119</v>
      </c>
      <c r="C33" s="35"/>
      <c r="D33" s="36"/>
      <c r="E33" s="26" t="s">
        <v>103</v>
      </c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25"/>
      <c r="Q33" s="26" t="s">
        <v>120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144">
        <f>AV32*1.05</f>
        <v>175.71529931858174</v>
      </c>
      <c r="AW33" s="150"/>
      <c r="AX33" s="150"/>
      <c r="AY33" s="150"/>
      <c r="AZ33" s="150"/>
      <c r="BA33" s="150"/>
      <c r="BB33" s="150"/>
      <c r="BC33" s="151"/>
      <c r="BD33" s="147">
        <f>BD32*1.05</f>
        <v>58.571766439527252</v>
      </c>
      <c r="BE33" s="148"/>
      <c r="BF33" s="148"/>
      <c r="BG33" s="148"/>
      <c r="BH33" s="148"/>
      <c r="BI33" s="148"/>
      <c r="BJ33" s="148"/>
      <c r="BK33" s="149"/>
    </row>
    <row r="34" spans="1:63" x14ac:dyDescent="0.25">
      <c r="B34" s="61"/>
      <c r="AV34" s="25"/>
      <c r="AW34" s="26"/>
      <c r="AX34" s="26" t="s">
        <v>76</v>
      </c>
      <c r="AY34" s="26"/>
      <c r="AZ34" s="26"/>
      <c r="BA34" s="26"/>
      <c r="BB34" s="26"/>
      <c r="BC34" s="27"/>
      <c r="BD34" s="22"/>
      <c r="BE34" s="23"/>
      <c r="BF34" s="23" t="s">
        <v>77</v>
      </c>
      <c r="BG34" s="23"/>
      <c r="BH34" s="23"/>
      <c r="BI34" s="23"/>
      <c r="BJ34" s="23"/>
      <c r="BK34" s="24"/>
    </row>
    <row r="35" spans="1:63" x14ac:dyDescent="0.25">
      <c r="B35" s="28" t="s">
        <v>156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170" t="s">
        <v>61</v>
      </c>
      <c r="AP35" s="170"/>
      <c r="AQ35" s="170"/>
      <c r="AR35" s="170"/>
      <c r="AS35" s="170"/>
      <c r="AT35" s="170"/>
      <c r="AU35" s="170"/>
      <c r="AV35" s="171"/>
      <c r="AW35" s="171"/>
      <c r="AX35" s="171"/>
      <c r="AY35" s="171"/>
      <c r="AZ35" s="171"/>
      <c r="BA35" s="171"/>
      <c r="BB35" s="171"/>
      <c r="BC35" s="171"/>
      <c r="BD35" s="172"/>
      <c r="BE35" s="172"/>
      <c r="BF35" s="172"/>
      <c r="BG35" s="172"/>
      <c r="BH35" s="172"/>
      <c r="BI35" s="172"/>
      <c r="BJ35" s="172"/>
      <c r="BK35" s="172"/>
    </row>
    <row r="36" spans="1:63" x14ac:dyDescent="0.25">
      <c r="C36" t="s">
        <v>150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170" t="s">
        <v>146</v>
      </c>
      <c r="AP36" s="170"/>
      <c r="AQ36" s="170"/>
      <c r="AR36" s="170"/>
      <c r="AS36" s="170"/>
      <c r="AT36" s="170"/>
      <c r="AU36" s="170"/>
      <c r="AV36" s="171"/>
      <c r="AW36" s="171"/>
      <c r="AX36" s="171"/>
      <c r="AY36" s="171"/>
      <c r="AZ36" s="171"/>
      <c r="BA36" s="171"/>
      <c r="BB36" s="171"/>
      <c r="BC36" s="171"/>
      <c r="BD36" s="172"/>
      <c r="BE36" s="172"/>
      <c r="BF36" s="172"/>
      <c r="BG36" s="172"/>
      <c r="BH36" s="172"/>
      <c r="BI36" s="172"/>
      <c r="BJ36" s="172"/>
      <c r="BK36" s="172"/>
    </row>
    <row r="37" spans="1:63" x14ac:dyDescent="0.25">
      <c r="C37" t="s">
        <v>151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170" t="s">
        <v>147</v>
      </c>
      <c r="AP37" s="170"/>
      <c r="AQ37" s="170"/>
      <c r="AR37" s="170"/>
      <c r="AS37" s="170"/>
      <c r="AT37" s="170"/>
      <c r="AU37" s="170"/>
      <c r="AV37" s="171"/>
      <c r="AW37" s="171"/>
      <c r="AX37" s="171"/>
      <c r="AY37" s="171"/>
      <c r="AZ37" s="171"/>
      <c r="BA37" s="171"/>
      <c r="BB37" s="171"/>
      <c r="BC37" s="171"/>
      <c r="BD37" s="172"/>
      <c r="BE37" s="172"/>
      <c r="BF37" s="172"/>
      <c r="BG37" s="172"/>
      <c r="BH37" s="172"/>
      <c r="BI37" s="172"/>
      <c r="BJ37" s="172"/>
      <c r="BK37" s="172"/>
    </row>
    <row r="38" spans="1:63" x14ac:dyDescent="0.25"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170" t="s">
        <v>98</v>
      </c>
      <c r="AP38" s="170"/>
      <c r="AQ38" s="170"/>
      <c r="AR38" s="170"/>
      <c r="AS38" s="170"/>
      <c r="AT38" s="170"/>
      <c r="AU38" s="170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</row>
    <row r="39" spans="1:63" x14ac:dyDescent="0.25"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170" t="s">
        <v>148</v>
      </c>
      <c r="AP39" s="170"/>
      <c r="AQ39" s="170"/>
      <c r="AR39" s="170"/>
      <c r="AS39" s="170"/>
      <c r="AT39" s="170"/>
      <c r="AU39" s="170"/>
      <c r="AV39" s="171"/>
      <c r="AW39" s="171"/>
      <c r="AX39" s="171"/>
      <c r="AY39" s="171"/>
      <c r="AZ39" s="171"/>
      <c r="BA39" s="171"/>
      <c r="BB39" s="171"/>
      <c r="BC39" s="171"/>
      <c r="BD39" s="172"/>
      <c r="BE39" s="172"/>
      <c r="BF39" s="172"/>
      <c r="BG39" s="172"/>
      <c r="BH39" s="172"/>
      <c r="BI39" s="172"/>
      <c r="BJ39" s="172"/>
      <c r="BK39" s="172"/>
    </row>
    <row r="40" spans="1:63" x14ac:dyDescent="0.25">
      <c r="BE40" s="9"/>
      <c r="BF40" s="9"/>
      <c r="BG40" s="9"/>
      <c r="BH40" s="9"/>
    </row>
    <row r="45" spans="1:63" x14ac:dyDescent="0.25">
      <c r="A45" s="16" t="s">
        <v>104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5"/>
    </row>
    <row r="46" spans="1:63" x14ac:dyDescent="0.25">
      <c r="A46" s="25" t="s">
        <v>105</v>
      </c>
      <c r="B46" s="26"/>
      <c r="C46" s="26"/>
      <c r="D46" s="26"/>
      <c r="E46" s="116"/>
      <c r="F46" s="116"/>
      <c r="G46" s="116"/>
      <c r="H46" s="116"/>
      <c r="I46" s="116"/>
      <c r="J46" s="116"/>
      <c r="K46" s="116"/>
      <c r="L46" s="116"/>
      <c r="M46" s="116"/>
      <c r="N46" s="26"/>
      <c r="O46" s="26" t="s">
        <v>106</v>
      </c>
      <c r="P46" s="26"/>
      <c r="Q46" s="26"/>
      <c r="R46" s="116"/>
      <c r="S46" s="116"/>
      <c r="T46" s="116"/>
      <c r="U46" s="116"/>
      <c r="V46" s="116"/>
      <c r="W46" s="116"/>
      <c r="X46" s="116"/>
      <c r="Y46" s="116"/>
      <c r="Z46" s="116"/>
      <c r="AA46" s="26"/>
      <c r="AB46" s="26" t="s">
        <v>137</v>
      </c>
      <c r="AC46" s="26"/>
      <c r="AD46" s="26"/>
      <c r="AE46" s="2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7"/>
    </row>
    <row r="47" spans="1:63" x14ac:dyDescent="0.25">
      <c r="A47" s="25" t="s">
        <v>107</v>
      </c>
      <c r="B47" s="26"/>
      <c r="C47" s="26"/>
      <c r="D47" s="26"/>
      <c r="E47" s="163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7"/>
    </row>
    <row r="48" spans="1:63" x14ac:dyDescent="0.25">
      <c r="A48" s="19" t="s">
        <v>108</v>
      </c>
      <c r="B48" s="20"/>
      <c r="C48" s="20"/>
      <c r="D48" s="20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5"/>
    </row>
    <row r="49" spans="1:63" x14ac:dyDescent="0.25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</row>
    <row r="50" spans="1:63" x14ac:dyDescent="0.25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</row>
    <row r="51" spans="1:63" x14ac:dyDescent="0.25">
      <c r="Y51" t="s">
        <v>127</v>
      </c>
    </row>
  </sheetData>
  <mergeCells count="105">
    <mergeCell ref="AO35:AU35"/>
    <mergeCell ref="AO36:AU36"/>
    <mergeCell ref="AO37:AU37"/>
    <mergeCell ref="AO38:AU38"/>
    <mergeCell ref="AO39:AU39"/>
    <mergeCell ref="S45:BK45"/>
    <mergeCell ref="R46:Z46"/>
    <mergeCell ref="E46:M46"/>
    <mergeCell ref="AF46:BK46"/>
    <mergeCell ref="F47:BK47"/>
    <mergeCell ref="E48:BK48"/>
    <mergeCell ref="A49:BK49"/>
    <mergeCell ref="A50:BK50"/>
    <mergeCell ref="BD27:BK27"/>
    <mergeCell ref="AV29:BC29"/>
    <mergeCell ref="BD29:BK29"/>
    <mergeCell ref="AV39:BC39"/>
    <mergeCell ref="BD35:BK35"/>
    <mergeCell ref="BD36:BK36"/>
    <mergeCell ref="BD37:BK37"/>
    <mergeCell ref="BD39:BK39"/>
    <mergeCell ref="BD38:BK38"/>
    <mergeCell ref="AV36:BC36"/>
    <mergeCell ref="AV37:BC37"/>
    <mergeCell ref="BD32:BK32"/>
    <mergeCell ref="AV33:BC33"/>
    <mergeCell ref="BD33:BK33"/>
    <mergeCell ref="AV35:BC35"/>
    <mergeCell ref="AV28:BC28"/>
    <mergeCell ref="BD28:BK28"/>
    <mergeCell ref="Z18:AD18"/>
    <mergeCell ref="Z19:AD19"/>
    <mergeCell ref="H25:U25"/>
    <mergeCell ref="AV38:BC38"/>
    <mergeCell ref="U20:X20"/>
    <mergeCell ref="U21:X21"/>
    <mergeCell ref="P20:T20"/>
    <mergeCell ref="P21:T21"/>
    <mergeCell ref="D20:H20"/>
    <mergeCell ref="D21:H21"/>
    <mergeCell ref="L18:N18"/>
    <mergeCell ref="L19:N19"/>
    <mergeCell ref="L20:N20"/>
    <mergeCell ref="L21:N21"/>
    <mergeCell ref="AV32:BC32"/>
    <mergeCell ref="AV27:BC27"/>
    <mergeCell ref="D18:H18"/>
    <mergeCell ref="D19:H19"/>
    <mergeCell ref="U16:X16"/>
    <mergeCell ref="U17:X17"/>
    <mergeCell ref="U18:X18"/>
    <mergeCell ref="U19:X19"/>
    <mergeCell ref="P17:T17"/>
    <mergeCell ref="P18:T18"/>
    <mergeCell ref="P19:T19"/>
    <mergeCell ref="L17:N17"/>
    <mergeCell ref="AC12:AI12"/>
    <mergeCell ref="P16:T16"/>
    <mergeCell ref="Z16:AD16"/>
    <mergeCell ref="D16:H16"/>
    <mergeCell ref="D17:H17"/>
    <mergeCell ref="L16:N16"/>
    <mergeCell ref="Z17:AD17"/>
    <mergeCell ref="L7:P7"/>
    <mergeCell ref="AZ7:BD7"/>
    <mergeCell ref="AL7:AV7"/>
    <mergeCell ref="AC10:AI10"/>
    <mergeCell ref="AC11:AI11"/>
    <mergeCell ref="BB5:BK5"/>
    <mergeCell ref="BF6:BK6"/>
    <mergeCell ref="BB4:BK4"/>
    <mergeCell ref="I4:AV4"/>
    <mergeCell ref="I5:AV5"/>
    <mergeCell ref="F6:M6"/>
    <mergeCell ref="T6:AA6"/>
    <mergeCell ref="AN6:AR6"/>
    <mergeCell ref="AF17:AJ17"/>
    <mergeCell ref="AF18:AJ18"/>
    <mergeCell ref="AF19:AJ19"/>
    <mergeCell ref="AF20:AJ20"/>
    <mergeCell ref="AF21:AJ21"/>
    <mergeCell ref="BB16:BJ16"/>
    <mergeCell ref="BB17:BJ17"/>
    <mergeCell ref="J26:M26"/>
    <mergeCell ref="C26:F26"/>
    <mergeCell ref="S26:U26"/>
    <mergeCell ref="AL16:AP16"/>
    <mergeCell ref="AL17:AP17"/>
    <mergeCell ref="AL18:AP18"/>
    <mergeCell ref="AL19:AP19"/>
    <mergeCell ref="AL20:AP20"/>
    <mergeCell ref="AL21:AP21"/>
    <mergeCell ref="AR16:AZ16"/>
    <mergeCell ref="AR17:AZ17"/>
    <mergeCell ref="Z20:AD20"/>
    <mergeCell ref="Z21:AD21"/>
    <mergeCell ref="AF16:AJ16"/>
    <mergeCell ref="AR18:AZ18"/>
    <mergeCell ref="BB18:BJ18"/>
    <mergeCell ref="AR19:AZ19"/>
    <mergeCell ref="AR20:AZ20"/>
    <mergeCell ref="AR21:AZ21"/>
    <mergeCell ref="BB19:BJ19"/>
    <mergeCell ref="BB20:BJ20"/>
    <mergeCell ref="BB21:BJ21"/>
  </mergeCells>
  <conditionalFormatting sqref="C26:F26">
    <cfRule type="cellIs" dxfId="1" priority="2" operator="lessThan">
      <formula>$J$26</formula>
    </cfRule>
  </conditionalFormatting>
  <conditionalFormatting sqref="J26:M26">
    <cfRule type="cellIs" dxfId="0" priority="1" operator="greaterThan">
      <formula>$C$26</formula>
    </cfRule>
  </conditionalFormatting>
  <dataValidations disablePrompts="1" count="1">
    <dataValidation type="list" allowBlank="1" showInputMessage="1" showErrorMessage="1" sqref="AV28:BK28" xr:uid="{00000000-0002-0000-0000-000000000000}">
      <formula1>$AE$22:$AE$30</formula1>
    </dataValidation>
  </dataValidations>
  <pageMargins left="0.44791666666666669" right="0.77083333333333337" top="0.78740157499999996" bottom="0.78740157499999996" header="0.31496062000000002" footer="0.31496062000000002"/>
  <pageSetup paperSize="9" orientation="portrait" r:id="rId1"/>
  <headerFooter>
    <oddHeader>&amp;L&amp;G&amp;C&amp;20Formulário</oddHeader>
    <oddFooter>&amp;LHora: &amp;T&amp;RPágina: &amp;P/&amp;N&amp;C&amp;1#&amp;"Calibri"&amp;12&amp;K008000Internal Use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1000000}">
          <x14:formula1>
            <xm:f>'2.Tabelas'!$AE$11:$AE$12</xm:f>
          </x14:formula1>
          <xm:sqref>BF6</xm:sqref>
        </x14:dataValidation>
        <x14:dataValidation type="list" allowBlank="1" showInputMessage="1" showErrorMessage="1" xr:uid="{00000000-0002-0000-0000-000002000000}">
          <x14:formula1>
            <xm:f>'2.Tabelas'!$AE$5:$AE$6</xm:f>
          </x14:formula1>
          <xm:sqref>P16:T21</xm:sqref>
        </x14:dataValidation>
        <x14:dataValidation type="list" allowBlank="1" showInputMessage="1" showErrorMessage="1" xr:uid="{00000000-0002-0000-0000-000003000000}">
          <x14:formula1>
            <xm:f>'2.Tabelas'!$AE$23:$AE$31</xm:f>
          </x14:formula1>
          <xm:sqref>AV38:BK38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6"/>
  <sheetViews>
    <sheetView tabSelected="1" zoomScale="70" zoomScaleNormal="70" workbookViewId="0">
      <selection activeCell="N40" sqref="N40"/>
    </sheetView>
  </sheetViews>
  <sheetFormatPr defaultRowHeight="15" x14ac:dyDescent="0.25"/>
  <cols>
    <col min="1" max="1" width="10.85546875" customWidth="1"/>
    <col min="2" max="2" width="12.42578125" customWidth="1"/>
    <col min="3" max="3" width="9.28515625" customWidth="1"/>
    <col min="4" max="4" width="10.85546875" customWidth="1"/>
    <col min="5" max="5" width="11.140625" customWidth="1"/>
    <col min="6" max="6" width="10.85546875" customWidth="1"/>
    <col min="7" max="7" width="15.28515625" customWidth="1"/>
    <col min="9" max="9" width="9.42578125" customWidth="1"/>
    <col min="10" max="10" width="8" style="6" customWidth="1"/>
    <col min="11" max="19" width="8.7109375" style="10" customWidth="1"/>
    <col min="20" max="20" width="4.85546875" style="10" customWidth="1"/>
    <col min="21" max="29" width="8.7109375" style="10" customWidth="1"/>
    <col min="30" max="30" width="9" style="6" customWidth="1"/>
    <col min="31" max="31" width="14" bestFit="1" customWidth="1"/>
    <col min="32" max="32" width="12.28515625" customWidth="1"/>
    <col min="33" max="33" width="14.5703125" customWidth="1"/>
    <col min="35" max="35" width="10.28515625" customWidth="1"/>
    <col min="39" max="39" width="11" customWidth="1"/>
    <col min="40" max="40" width="9.28515625" customWidth="1"/>
    <col min="42" max="42" width="9.140625" style="9"/>
    <col min="47" max="47" width="6" bestFit="1" customWidth="1"/>
    <col min="48" max="48" width="6.28515625" bestFit="1" customWidth="1"/>
  </cols>
  <sheetData>
    <row r="1" spans="1:50" ht="15.75" thickBot="1" x14ac:dyDescent="0.3">
      <c r="A1" s="76"/>
      <c r="C1" s="77"/>
      <c r="D1" s="77"/>
      <c r="E1" s="77"/>
      <c r="F1" s="77"/>
      <c r="G1" s="77"/>
      <c r="H1" s="77"/>
      <c r="I1" s="78"/>
      <c r="K1" s="76"/>
      <c r="L1" s="77"/>
      <c r="M1" s="77"/>
      <c r="N1" s="77"/>
      <c r="O1" s="77"/>
      <c r="P1" s="77"/>
      <c r="Q1" s="77"/>
      <c r="R1" s="77"/>
      <c r="S1" s="78"/>
      <c r="AD1" s="7"/>
      <c r="AU1" s="161" t="s">
        <v>56</v>
      </c>
      <c r="AV1" s="162"/>
      <c r="AW1" s="161" t="s">
        <v>59</v>
      </c>
      <c r="AX1" s="162"/>
    </row>
    <row r="2" spans="1:50" x14ac:dyDescent="0.25">
      <c r="A2" s="79"/>
      <c r="B2" s="56" t="s">
        <v>183</v>
      </c>
      <c r="C2" s="20"/>
      <c r="D2" s="20"/>
      <c r="E2" s="20"/>
      <c r="F2" s="20"/>
      <c r="G2" s="20"/>
      <c r="H2" s="20"/>
      <c r="I2" s="80"/>
      <c r="K2" s="79"/>
      <c r="L2" s="56" t="s">
        <v>171</v>
      </c>
      <c r="M2" s="20"/>
      <c r="N2" s="20"/>
      <c r="O2" s="20"/>
      <c r="P2" s="20"/>
      <c r="Q2" s="20"/>
      <c r="R2" s="20"/>
      <c r="S2" s="80"/>
      <c r="AD2" s="89"/>
      <c r="AE2" s="85" t="s">
        <v>184</v>
      </c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8"/>
      <c r="AT2" t="s">
        <v>54</v>
      </c>
      <c r="AU2" t="s">
        <v>57</v>
      </c>
      <c r="AV2" t="s">
        <v>58</v>
      </c>
      <c r="AW2" s="6" t="s">
        <v>57</v>
      </c>
      <c r="AX2" s="6" t="s">
        <v>58</v>
      </c>
    </row>
    <row r="3" spans="1:50" x14ac:dyDescent="0.25">
      <c r="A3" s="79"/>
      <c r="B3" s="20" t="s">
        <v>182</v>
      </c>
      <c r="C3" s="20"/>
      <c r="D3" s="20"/>
      <c r="E3" s="20"/>
      <c r="F3" s="20"/>
      <c r="G3" s="39"/>
      <c r="H3" s="20"/>
      <c r="I3" s="80"/>
      <c r="K3" s="79"/>
      <c r="L3" s="20"/>
      <c r="M3" s="20"/>
      <c r="N3" s="20"/>
      <c r="O3" s="20"/>
      <c r="P3" s="20"/>
      <c r="Q3" s="20"/>
      <c r="R3" s="20"/>
      <c r="S3" s="80"/>
      <c r="AD3" s="9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80"/>
      <c r="AT3">
        <v>100</v>
      </c>
      <c r="AU3">
        <v>34</v>
      </c>
      <c r="AV3">
        <v>39</v>
      </c>
      <c r="AW3">
        <v>51</v>
      </c>
      <c r="AX3">
        <v>62</v>
      </c>
    </row>
    <row r="4" spans="1:50" x14ac:dyDescent="0.25">
      <c r="A4" s="79"/>
      <c r="B4" s="86" t="s">
        <v>61</v>
      </c>
      <c r="C4" s="86" t="s">
        <v>147</v>
      </c>
      <c r="D4" s="86" t="s">
        <v>98</v>
      </c>
      <c r="E4" s="86" t="s">
        <v>148</v>
      </c>
      <c r="F4" s="86" t="s">
        <v>11</v>
      </c>
      <c r="G4" s="86" t="s">
        <v>176</v>
      </c>
      <c r="I4" s="80"/>
      <c r="K4" s="79"/>
      <c r="L4" s="20" t="s">
        <v>182</v>
      </c>
      <c r="M4" s="20"/>
      <c r="N4" s="20"/>
      <c r="O4" s="20"/>
      <c r="P4" s="20"/>
      <c r="Q4" s="39"/>
      <c r="R4" s="20"/>
      <c r="S4" s="80"/>
      <c r="AD4" s="90"/>
      <c r="AE4" s="20" t="s">
        <v>4</v>
      </c>
      <c r="AF4" s="20" t="s">
        <v>82</v>
      </c>
      <c r="AG4" s="20" t="s">
        <v>47</v>
      </c>
      <c r="AH4" s="20"/>
      <c r="AI4" s="20" t="s">
        <v>38</v>
      </c>
      <c r="AJ4" s="20" t="s">
        <v>39</v>
      </c>
      <c r="AK4" s="20"/>
      <c r="AL4" s="20"/>
      <c r="AM4" s="20"/>
      <c r="AN4" s="20"/>
      <c r="AO4" s="20"/>
      <c r="AP4" s="20"/>
      <c r="AQ4" s="80"/>
      <c r="AT4">
        <v>10</v>
      </c>
      <c r="AU4">
        <v>41</v>
      </c>
      <c r="AV4">
        <v>50</v>
      </c>
      <c r="AW4">
        <v>62</v>
      </c>
      <c r="AX4">
        <v>75</v>
      </c>
    </row>
    <row r="5" spans="1:50" x14ac:dyDescent="0.25">
      <c r="A5" s="79"/>
      <c r="B5" s="75">
        <f>'1.Formulário'!S26</f>
        <v>40</v>
      </c>
      <c r="C5" s="75">
        <f>'1.Formulário'!AV29</f>
        <v>0.2</v>
      </c>
      <c r="D5" s="75" t="str">
        <f>'1.Formulário'!AV28</f>
        <v>Muito Inversa</v>
      </c>
      <c r="E5" s="75">
        <f>'1.Formulário'!AV29</f>
        <v>0.2</v>
      </c>
      <c r="F5" s="87">
        <f>'1.Formulário'!AV27</f>
        <v>22.760224458838035</v>
      </c>
      <c r="G5" s="87">
        <f>'1.Formulário'!AV33</f>
        <v>175.71529931858174</v>
      </c>
      <c r="I5" s="80"/>
      <c r="K5" s="79"/>
      <c r="L5" s="20" t="s">
        <v>61</v>
      </c>
      <c r="M5" s="20" t="s">
        <v>146</v>
      </c>
      <c r="N5" s="20" t="s">
        <v>147</v>
      </c>
      <c r="O5" s="20" t="s">
        <v>98</v>
      </c>
      <c r="P5" s="20" t="s">
        <v>148</v>
      </c>
      <c r="Q5" s="39" t="s">
        <v>11</v>
      </c>
      <c r="R5" s="20" t="s">
        <v>176</v>
      </c>
      <c r="S5" s="80"/>
      <c r="AD5" s="90"/>
      <c r="AE5" s="20" t="s">
        <v>158</v>
      </c>
      <c r="AF5" s="20">
        <v>8</v>
      </c>
      <c r="AG5" s="20">
        <v>0.1</v>
      </c>
      <c r="AH5" s="20"/>
      <c r="AI5" s="20">
        <v>0</v>
      </c>
      <c r="AJ5" s="20" t="s">
        <v>40</v>
      </c>
      <c r="AK5" s="20"/>
      <c r="AL5" s="20"/>
      <c r="AM5" s="20"/>
      <c r="AN5" s="20"/>
      <c r="AO5" s="20"/>
      <c r="AP5" s="20"/>
      <c r="AQ5" s="80"/>
      <c r="AT5">
        <v>1</v>
      </c>
      <c r="AU5">
        <v>71</v>
      </c>
      <c r="AV5">
        <v>85</v>
      </c>
      <c r="AW5">
        <v>110</v>
      </c>
      <c r="AX5">
        <v>130</v>
      </c>
    </row>
    <row r="6" spans="1:50" x14ac:dyDescent="0.25">
      <c r="A6" s="79"/>
      <c r="B6" s="20"/>
      <c r="C6" s="20"/>
      <c r="D6" s="20"/>
      <c r="E6" s="20"/>
      <c r="F6" s="20"/>
      <c r="G6" s="39"/>
      <c r="H6" s="20"/>
      <c r="I6" s="80"/>
      <c r="K6" s="79"/>
      <c r="L6" s="20">
        <f>'1.Formulário'!AV35</f>
        <v>0</v>
      </c>
      <c r="M6" s="20">
        <f>'1.Formulário'!AV36</f>
        <v>0</v>
      </c>
      <c r="N6" s="20">
        <f>'1.Formulário'!AV37</f>
        <v>0</v>
      </c>
      <c r="O6" s="20">
        <f>'1.Formulário'!AV38</f>
        <v>0</v>
      </c>
      <c r="P6" s="20">
        <f>'1.Formulário'!AV39</f>
        <v>0</v>
      </c>
      <c r="Q6" s="39">
        <f>Rele_Neo_fase[RTC]*Rele_Neo_fase[TAP]</f>
        <v>0</v>
      </c>
      <c r="R6" s="20">
        <f>Rele_Neo_fase[RTC]*Rele_Neo_fase[DI]</f>
        <v>0</v>
      </c>
      <c r="S6" s="80"/>
      <c r="AD6" s="90"/>
      <c r="AE6" s="20" t="s">
        <v>6</v>
      </c>
      <c r="AF6" s="20">
        <v>12</v>
      </c>
      <c r="AG6" s="20">
        <v>0.1</v>
      </c>
      <c r="AH6" s="20"/>
      <c r="AI6" s="20">
        <v>112.5</v>
      </c>
      <c r="AJ6" s="20" t="s">
        <v>42</v>
      </c>
      <c r="AK6" s="20"/>
      <c r="AL6" s="20"/>
      <c r="AM6" s="20" t="s">
        <v>25</v>
      </c>
      <c r="AN6" s="20" t="s">
        <v>26</v>
      </c>
      <c r="AO6" s="20" t="s">
        <v>31</v>
      </c>
      <c r="AP6" s="20" t="s">
        <v>32</v>
      </c>
      <c r="AQ6" s="80"/>
      <c r="AT6">
        <v>0.1</v>
      </c>
      <c r="AU6">
        <v>180</v>
      </c>
      <c r="AV6">
        <v>250</v>
      </c>
      <c r="AW6">
        <v>310</v>
      </c>
      <c r="AX6">
        <v>400</v>
      </c>
    </row>
    <row r="7" spans="1:50" x14ac:dyDescent="0.25">
      <c r="A7" s="79"/>
      <c r="B7" s="20" t="s">
        <v>181</v>
      </c>
      <c r="C7" s="20"/>
      <c r="D7" s="20"/>
      <c r="E7" s="20"/>
      <c r="F7" s="20"/>
      <c r="G7" s="39"/>
      <c r="H7" s="20"/>
      <c r="I7" s="80"/>
      <c r="K7" s="79"/>
      <c r="L7" s="20"/>
      <c r="M7" s="20"/>
      <c r="N7" s="20"/>
      <c r="O7" s="20"/>
      <c r="P7" s="20"/>
      <c r="Q7" s="39"/>
      <c r="R7" s="20"/>
      <c r="S7" s="80"/>
      <c r="AD7" s="90"/>
      <c r="AE7" s="20" t="s">
        <v>16</v>
      </c>
      <c r="AF7" s="40" t="s">
        <v>17</v>
      </c>
      <c r="AG7" s="40"/>
      <c r="AH7" s="20"/>
      <c r="AI7" s="20">
        <v>150</v>
      </c>
      <c r="AJ7" s="20" t="s">
        <v>41</v>
      </c>
      <c r="AK7" s="20"/>
      <c r="AL7" s="20"/>
      <c r="AM7" s="20">
        <v>1000</v>
      </c>
      <c r="AN7" s="20">
        <v>5</v>
      </c>
      <c r="AO7" s="20">
        <f>Tabela_PadroesTCs[[#This Row],[TC_alta]]/Tabela_PadroesTCs[[#This Row],[TC_baixa]]</f>
        <v>200</v>
      </c>
      <c r="AP7" s="20">
        <f>Tabela_PadroesTCs[[#This Row],[TC_alta]]*20</f>
        <v>20000</v>
      </c>
      <c r="AQ7" s="80"/>
      <c r="AT7">
        <v>0.03</v>
      </c>
      <c r="AU7">
        <v>350</v>
      </c>
      <c r="AV7">
        <v>480</v>
      </c>
      <c r="AW7">
        <v>560</v>
      </c>
      <c r="AX7">
        <v>850</v>
      </c>
    </row>
    <row r="8" spans="1:50" x14ac:dyDescent="0.25">
      <c r="A8" s="79"/>
      <c r="B8" s="86" t="s">
        <v>61</v>
      </c>
      <c r="C8" s="86" t="s">
        <v>147</v>
      </c>
      <c r="D8" s="86" t="s">
        <v>98</v>
      </c>
      <c r="E8" s="86" t="s">
        <v>148</v>
      </c>
      <c r="F8" s="86" t="s">
        <v>11</v>
      </c>
      <c r="G8" s="86" t="s">
        <v>176</v>
      </c>
      <c r="I8" s="80"/>
      <c r="K8" s="79"/>
      <c r="L8" s="20" t="s">
        <v>181</v>
      </c>
      <c r="M8" s="20"/>
      <c r="N8" s="20"/>
      <c r="O8" s="20"/>
      <c r="P8" s="20"/>
      <c r="Q8" s="39"/>
      <c r="R8" s="20"/>
      <c r="S8" s="80"/>
      <c r="AD8" s="90"/>
      <c r="AE8" s="20"/>
      <c r="AF8" s="20"/>
      <c r="AG8" s="20"/>
      <c r="AH8" s="20"/>
      <c r="AI8" s="20">
        <v>225</v>
      </c>
      <c r="AJ8" s="20" t="s">
        <v>41</v>
      </c>
      <c r="AK8" s="20"/>
      <c r="AL8" s="20"/>
      <c r="AM8" s="20">
        <v>800</v>
      </c>
      <c r="AN8" s="20">
        <v>5</v>
      </c>
      <c r="AO8" s="20">
        <f>Tabela_PadroesTCs[[#This Row],[TC_alta]]/Tabela_PadroesTCs[[#This Row],[TC_baixa]]</f>
        <v>160</v>
      </c>
      <c r="AP8" s="20">
        <f>Tabela_PadroesTCs[[#This Row],[TC_alta]]*20</f>
        <v>16000</v>
      </c>
      <c r="AQ8" s="80"/>
      <c r="AT8">
        <v>0.01</v>
      </c>
      <c r="AU8">
        <v>600</v>
      </c>
      <c r="AV8">
        <v>1100</v>
      </c>
      <c r="AW8">
        <v>980</v>
      </c>
      <c r="AX8">
        <v>1900</v>
      </c>
    </row>
    <row r="9" spans="1:50" x14ac:dyDescent="0.25">
      <c r="A9" s="79"/>
      <c r="B9" s="75">
        <f>'1.Formulário'!S26</f>
        <v>40</v>
      </c>
      <c r="C9" s="75">
        <f>'1.Formulário'!BD29</f>
        <v>0.2</v>
      </c>
      <c r="D9" s="75" t="str">
        <f>'1.Formulário'!BD28</f>
        <v>Muito Inversa</v>
      </c>
      <c r="E9" s="75">
        <f>'1.Formulário'!BD29</f>
        <v>0.2</v>
      </c>
      <c r="F9" s="87">
        <f>'1.Formulário'!BD27</f>
        <v>7.5867414862793447</v>
      </c>
      <c r="G9" s="87">
        <f>'1.Formulário'!BD33</f>
        <v>58.571766439527252</v>
      </c>
      <c r="I9" s="80"/>
      <c r="K9" s="79"/>
      <c r="L9" s="20" t="s">
        <v>61</v>
      </c>
      <c r="M9" s="20" t="s">
        <v>146</v>
      </c>
      <c r="N9" s="20" t="s">
        <v>147</v>
      </c>
      <c r="O9" s="20" t="s">
        <v>98</v>
      </c>
      <c r="P9" s="20" t="s">
        <v>148</v>
      </c>
      <c r="Q9" s="39" t="s">
        <v>11</v>
      </c>
      <c r="R9" s="20" t="s">
        <v>176</v>
      </c>
      <c r="S9" s="80"/>
      <c r="AD9" s="90"/>
      <c r="AE9" s="20"/>
      <c r="AF9" s="20"/>
      <c r="AG9" s="20"/>
      <c r="AH9" s="20"/>
      <c r="AI9" s="20">
        <v>300</v>
      </c>
      <c r="AJ9" s="20" t="s">
        <v>41</v>
      </c>
      <c r="AK9" s="20"/>
      <c r="AL9" s="20"/>
      <c r="AM9" s="20">
        <v>600</v>
      </c>
      <c r="AN9" s="20">
        <v>5</v>
      </c>
      <c r="AO9" s="20">
        <f>Tabela_PadroesTCs[[#This Row],[TC_alta]]/Tabela_PadroesTCs[[#This Row],[TC_baixa]]</f>
        <v>120</v>
      </c>
      <c r="AP9" s="20">
        <f>Tabela_PadroesTCs[[#This Row],[TC_alta]]*20</f>
        <v>12000</v>
      </c>
      <c r="AQ9" s="80"/>
    </row>
    <row r="10" spans="1:50" x14ac:dyDescent="0.25">
      <c r="A10" s="79"/>
      <c r="B10" s="20"/>
      <c r="C10" s="20"/>
      <c r="D10" s="20"/>
      <c r="E10" s="20"/>
      <c r="F10" s="20"/>
      <c r="G10" s="20"/>
      <c r="H10" s="20"/>
      <c r="I10" s="80"/>
      <c r="K10" s="79"/>
      <c r="L10" s="20">
        <f>'1.Formulário'!BD35</f>
        <v>0</v>
      </c>
      <c r="M10" s="20">
        <f>'1.Formulário'!BD36</f>
        <v>0</v>
      </c>
      <c r="N10" s="20">
        <f>'1.Formulário'!BD37</f>
        <v>0</v>
      </c>
      <c r="O10" s="20">
        <f>'1.Formulário'!BD38</f>
        <v>0</v>
      </c>
      <c r="P10" s="20">
        <f>'1.Formulário'!BD39</f>
        <v>0</v>
      </c>
      <c r="Q10" s="39">
        <f>Rele_Neo_neutro[RTC]*Rele_Neo_neutro[TAP]</f>
        <v>0</v>
      </c>
      <c r="R10" s="20">
        <f>Rele_Neo_neutro[RTC]*Rele_Neo_neutro[DI]</f>
        <v>0</v>
      </c>
      <c r="S10" s="80"/>
      <c r="AD10" s="90"/>
      <c r="AE10" s="20" t="s">
        <v>12</v>
      </c>
      <c r="AF10" s="20" t="s">
        <v>109</v>
      </c>
      <c r="AG10" s="20"/>
      <c r="AH10" s="20"/>
      <c r="AI10" s="20">
        <v>500</v>
      </c>
      <c r="AJ10" s="20" t="s">
        <v>44</v>
      </c>
      <c r="AK10" s="20"/>
      <c r="AL10" s="20"/>
      <c r="AM10" s="20">
        <v>500</v>
      </c>
      <c r="AN10" s="20">
        <v>5</v>
      </c>
      <c r="AO10" s="20">
        <f>Tabela_PadroesTCs[[#This Row],[TC_alta]]/Tabela_PadroesTCs[[#This Row],[TC_baixa]]</f>
        <v>100</v>
      </c>
      <c r="AP10" s="20">
        <f>Tabela_PadroesTCs[[#This Row],[TC_alta]]*20</f>
        <v>10000</v>
      </c>
      <c r="AQ10" s="80"/>
    </row>
    <row r="11" spans="1:50" x14ac:dyDescent="0.25">
      <c r="A11" s="79"/>
      <c r="B11" s="20" t="s">
        <v>68</v>
      </c>
      <c r="C11" s="20"/>
      <c r="D11" s="20"/>
      <c r="E11" s="20"/>
      <c r="F11" s="20" t="s">
        <v>69</v>
      </c>
      <c r="G11" s="20"/>
      <c r="H11" s="20"/>
      <c r="I11" s="80"/>
      <c r="K11" s="79"/>
      <c r="L11" s="20"/>
      <c r="M11" s="20"/>
      <c r="N11" s="20"/>
      <c r="O11" s="20"/>
      <c r="P11" s="20"/>
      <c r="Q11" s="20"/>
      <c r="R11" s="20"/>
      <c r="S11" s="80"/>
      <c r="AD11" s="90"/>
      <c r="AE11" s="20" t="s">
        <v>13</v>
      </c>
      <c r="AF11" s="20">
        <v>1.1000000000000001</v>
      </c>
      <c r="AG11" s="20"/>
      <c r="AH11" s="20"/>
      <c r="AI11" s="20">
        <v>750</v>
      </c>
      <c r="AJ11" s="20" t="s">
        <v>44</v>
      </c>
      <c r="AK11" s="20"/>
      <c r="AL11" s="20"/>
      <c r="AM11" s="20">
        <v>400</v>
      </c>
      <c r="AN11" s="20">
        <v>5</v>
      </c>
      <c r="AO11" s="20">
        <f>Tabela_PadroesTCs[[#This Row],[TC_alta]]/Tabela_PadroesTCs[[#This Row],[TC_baixa]]</f>
        <v>80</v>
      </c>
      <c r="AP11" s="20">
        <f>Tabela_PadroesTCs[[#This Row],[TC_alta]]*20</f>
        <v>8000</v>
      </c>
      <c r="AQ11" s="80"/>
    </row>
    <row r="12" spans="1:50" x14ac:dyDescent="0.25">
      <c r="A12" s="79"/>
      <c r="B12" s="20" t="s">
        <v>79</v>
      </c>
      <c r="C12" s="20"/>
      <c r="D12" s="20"/>
      <c r="E12" s="20"/>
      <c r="F12" s="20" t="s">
        <v>78</v>
      </c>
      <c r="G12" s="20"/>
      <c r="H12" s="20"/>
      <c r="I12" s="80"/>
      <c r="K12" s="79"/>
      <c r="L12" s="20" t="s">
        <v>172</v>
      </c>
      <c r="M12" s="20"/>
      <c r="N12" s="20"/>
      <c r="O12" s="20"/>
      <c r="P12" s="20" t="s">
        <v>173</v>
      </c>
      <c r="Q12" s="20"/>
      <c r="R12" s="20"/>
      <c r="S12" s="80"/>
      <c r="AD12" s="90"/>
      <c r="AE12" s="20" t="s">
        <v>14</v>
      </c>
      <c r="AF12" s="20">
        <v>1.05</v>
      </c>
      <c r="AG12" s="20"/>
      <c r="AH12" s="20"/>
      <c r="AI12" s="20">
        <v>1000</v>
      </c>
      <c r="AJ12" s="20" t="s">
        <v>44</v>
      </c>
      <c r="AK12" s="20"/>
      <c r="AL12" s="20"/>
      <c r="AM12" s="20">
        <v>300</v>
      </c>
      <c r="AN12" s="20">
        <v>5</v>
      </c>
      <c r="AO12" s="20">
        <f>Tabela_PadroesTCs[[#This Row],[TC_alta]]/Tabela_PadroesTCs[[#This Row],[TC_baixa]]</f>
        <v>60</v>
      </c>
      <c r="AP12" s="20">
        <f>Tabela_PadroesTCs[[#This Row],[TC_alta]]*20</f>
        <v>6000</v>
      </c>
      <c r="AQ12" s="80"/>
    </row>
    <row r="13" spans="1:50" x14ac:dyDescent="0.25">
      <c r="A13" s="79"/>
      <c r="B13" s="20" t="s">
        <v>63</v>
      </c>
      <c r="C13" s="20" t="s">
        <v>62</v>
      </c>
      <c r="D13" s="20"/>
      <c r="E13" s="20"/>
      <c r="F13" s="20" t="s">
        <v>63</v>
      </c>
      <c r="G13" s="20" t="s">
        <v>62</v>
      </c>
      <c r="H13" s="20"/>
      <c r="I13" s="80"/>
      <c r="K13" s="79"/>
      <c r="L13" s="20" t="s">
        <v>177</v>
      </c>
      <c r="M13" s="20"/>
      <c r="N13" s="20"/>
      <c r="O13" s="20"/>
      <c r="P13" s="20" t="s">
        <v>179</v>
      </c>
      <c r="Q13" s="20"/>
      <c r="R13" s="20"/>
      <c r="S13" s="80"/>
      <c r="AD13" s="90"/>
      <c r="AE13" s="20"/>
      <c r="AF13" s="20"/>
      <c r="AG13" s="20"/>
      <c r="AH13" s="20"/>
      <c r="AI13" s="20">
        <v>1001</v>
      </c>
      <c r="AJ13" s="20" t="s">
        <v>43</v>
      </c>
      <c r="AK13" s="20"/>
      <c r="AL13" s="20"/>
      <c r="AM13" s="20">
        <v>250</v>
      </c>
      <c r="AN13" s="20">
        <v>5</v>
      </c>
      <c r="AO13" s="20">
        <f>Tabela_PadroesTCs[[#This Row],[TC_alta]]/Tabela_PadroesTCs[[#This Row],[TC_baixa]]</f>
        <v>50</v>
      </c>
      <c r="AP13" s="20">
        <f>Tabela_PadroesTCs[[#This Row],[TC_alta]]*20</f>
        <v>5000</v>
      </c>
      <c r="AQ13" s="80"/>
    </row>
    <row r="14" spans="1:50" x14ac:dyDescent="0.25">
      <c r="A14" s="79"/>
      <c r="B14" s="20">
        <v>0.01</v>
      </c>
      <c r="C14" s="49">
        <f>Rele_Cliente_fase[I_instantaneo]</f>
        <v>175.71529931858174</v>
      </c>
      <c r="D14" s="20"/>
      <c r="E14" s="20"/>
      <c r="F14" s="20">
        <v>0.01</v>
      </c>
      <c r="G14" s="49">
        <f>Rele_Cliente_neutro[I_instantaneo]</f>
        <v>58.571766439527252</v>
      </c>
      <c r="H14" s="20"/>
      <c r="I14" s="80"/>
      <c r="K14" s="79"/>
      <c r="L14" s="20" t="s">
        <v>63</v>
      </c>
      <c r="M14" s="20" t="s">
        <v>62</v>
      </c>
      <c r="N14" s="20"/>
      <c r="O14" s="20"/>
      <c r="P14" s="20" t="s">
        <v>63</v>
      </c>
      <c r="Q14" s="20" t="s">
        <v>62</v>
      </c>
      <c r="R14" s="20"/>
      <c r="S14" s="80"/>
      <c r="AD14" s="90"/>
      <c r="AE14" s="20" t="s">
        <v>8</v>
      </c>
      <c r="AF14" s="20" t="s">
        <v>23</v>
      </c>
      <c r="AG14" s="20" t="s">
        <v>24</v>
      </c>
      <c r="AH14" s="20"/>
      <c r="AI14" s="20"/>
      <c r="AJ14" s="20"/>
      <c r="AK14" s="20"/>
      <c r="AL14" s="20"/>
      <c r="AM14" s="20">
        <v>200</v>
      </c>
      <c r="AN14" s="20">
        <v>5</v>
      </c>
      <c r="AO14" s="20">
        <f>Tabela_PadroesTCs[[#This Row],[TC_alta]]/Tabela_PadroesTCs[[#This Row],[TC_baixa]]</f>
        <v>40</v>
      </c>
      <c r="AP14" s="20">
        <f>Tabela_PadroesTCs[[#This Row],[TC_alta]]*20</f>
        <v>4000</v>
      </c>
      <c r="AQ14" s="80"/>
      <c r="AT14" s="9" t="s">
        <v>56</v>
      </c>
      <c r="AU14" s="9"/>
      <c r="AV14" s="9"/>
      <c r="AW14" s="9" t="s">
        <v>70</v>
      </c>
      <c r="AX14" s="9"/>
    </row>
    <row r="15" spans="1:50" x14ac:dyDescent="0.25">
      <c r="A15" s="79"/>
      <c r="B15" s="81">
        <f>VLOOKUP(Rele_Cliente_fase[CURVA],Tabela_ParametrosCurvas[],2,FALSE)*Rele_Cliente_fase[DI]/((Curva_50_Cliente[[#This Row],[corrente]]/Rele_Cliente_fase[Ip])^VLOOKUP(Rele_Cliente_fase[CURVA],Tabela_ParametrosCurvas[],3,FALSE)-1)</f>
        <v>0.40176899063475552</v>
      </c>
      <c r="C15" s="49">
        <f>Rele_Cliente_fase[I_instantaneo]</f>
        <v>175.71529931858174</v>
      </c>
      <c r="D15" s="20"/>
      <c r="E15" s="20"/>
      <c r="F15" s="81">
        <f>VLOOKUP(Rele_Cliente_neutro[CURVA],Tabela_ParametrosCurvas[],2,FALSE)*Rele_Cliente_neutro[DI]/((Curva_50N_Cliente[[#This Row],[corrente]]/Rele_Cliente_neutro[Ip])^VLOOKUP(Rele_Cliente_neutro[CURVA],Tabela_ParametrosCurvas[],3,FALSE)-1)</f>
        <v>0.40176899063475546</v>
      </c>
      <c r="G15" s="49">
        <f>Rele_Cliente_neutro[I_instantaneo]</f>
        <v>58.571766439527252</v>
      </c>
      <c r="H15" s="20"/>
      <c r="I15" s="80"/>
      <c r="K15" s="79"/>
      <c r="L15" s="20">
        <v>0.01</v>
      </c>
      <c r="M15" s="49">
        <f>Rele_Neo_fase[I_instantaneo]</f>
        <v>0</v>
      </c>
      <c r="N15" s="20"/>
      <c r="O15" s="20"/>
      <c r="P15" s="20">
        <v>0.01</v>
      </c>
      <c r="Q15" s="49">
        <f>Rele_Neo_neutro[I_instantaneo]</f>
        <v>0</v>
      </c>
      <c r="R15" s="20"/>
      <c r="S15" s="80"/>
      <c r="AD15" s="90"/>
      <c r="AE15" s="20">
        <v>0</v>
      </c>
      <c r="AF15" s="20">
        <v>25</v>
      </c>
      <c r="AG15" s="20">
        <v>2</v>
      </c>
      <c r="AH15" s="20"/>
      <c r="AI15" s="20"/>
      <c r="AJ15" s="20"/>
      <c r="AK15" s="20"/>
      <c r="AL15" s="20"/>
      <c r="AM15" s="20">
        <v>150</v>
      </c>
      <c r="AN15" s="20">
        <v>5</v>
      </c>
      <c r="AO15" s="20">
        <f>Tabela_PadroesTCs[[#This Row],[TC_alta]]/Tabela_PadroesTCs[[#This Row],[TC_baixa]]</f>
        <v>30</v>
      </c>
      <c r="AP15" s="20">
        <f>Tabela_PadroesTCs[[#This Row],[TC_alta]]*20</f>
        <v>3000</v>
      </c>
      <c r="AQ15" s="80"/>
      <c r="AT15" s="9" t="s">
        <v>53</v>
      </c>
      <c r="AU15" s="9" t="s">
        <v>54</v>
      </c>
      <c r="AV15" s="9"/>
      <c r="AW15" s="9" t="s">
        <v>53</v>
      </c>
      <c r="AX15" s="9" t="s">
        <v>54</v>
      </c>
    </row>
    <row r="16" spans="1:50" x14ac:dyDescent="0.25">
      <c r="A16" s="79"/>
      <c r="B16" s="20"/>
      <c r="C16" s="20"/>
      <c r="D16" s="20"/>
      <c r="E16" s="20"/>
      <c r="F16" s="20"/>
      <c r="G16" s="20"/>
      <c r="H16" s="20"/>
      <c r="I16" s="80"/>
      <c r="K16" s="79"/>
      <c r="L16" s="81" t="e">
        <f>VLOOKUP(Rele_Neo_fase[CURVA],Tabela_ParametrosCurvas[],2,FALSE)*Rele_Neo_fase[DIAL]/((Tabela_instFaseNeoenergia[[#This Row],[corrente]]/Rele_Neo_fase[Ip])^VLOOKUP(Rele_Neo_fase[CURVA],Tabela_ParametrosCurvas[],3,FALSE)-1)</f>
        <v>#N/A</v>
      </c>
      <c r="M16" s="49">
        <f>Rele_Neo_fase[I_instantaneo]</f>
        <v>0</v>
      </c>
      <c r="N16" s="20"/>
      <c r="O16" s="20"/>
      <c r="P16" s="81" t="e">
        <f>VLOOKUP(Rele_Neo_neutro[CURVA],Tabela_ParametrosCurvas[],2,FALSE)*Rele_Neo_neutro[DIAL]/((Tabela_instNeutroNeoenergia[[#This Row],[corrente]]/Rele_Neo_neutro[Ip])^VLOOKUP(Rele_Neo_neutro[CURVA],Tabela_ParametrosCurvas[],3,FALSE)-1)</f>
        <v>#N/A</v>
      </c>
      <c r="Q16" s="49">
        <f>Rele_Neo_neutro[I_instantaneo]</f>
        <v>0</v>
      </c>
      <c r="R16" s="20"/>
      <c r="S16" s="80"/>
      <c r="AD16" s="90"/>
      <c r="AE16" s="20">
        <v>4</v>
      </c>
      <c r="AF16" s="20">
        <v>25</v>
      </c>
      <c r="AG16" s="20">
        <v>2</v>
      </c>
      <c r="AH16" s="20"/>
      <c r="AI16" s="20"/>
      <c r="AJ16" s="20"/>
      <c r="AK16" s="20"/>
      <c r="AL16" s="20"/>
      <c r="AM16" s="20">
        <v>100</v>
      </c>
      <c r="AN16" s="20">
        <v>5</v>
      </c>
      <c r="AO16" s="20">
        <f>Tabela_PadroesTCs[[#This Row],[TC_alta]]/Tabela_PadroesTCs[[#This Row],[TC_baixa]]</f>
        <v>20</v>
      </c>
      <c r="AP16" s="20">
        <f>Tabela_PadroesTCs[[#This Row],[TC_alta]]*20</f>
        <v>2000</v>
      </c>
      <c r="AQ16" s="80"/>
      <c r="AT16" s="9">
        <v>34</v>
      </c>
      <c r="AU16" s="9">
        <v>100</v>
      </c>
      <c r="AV16" s="9"/>
      <c r="AW16" s="9">
        <v>39</v>
      </c>
      <c r="AX16" s="9">
        <v>100</v>
      </c>
    </row>
    <row r="17" spans="1:50" x14ac:dyDescent="0.25">
      <c r="A17" s="79"/>
      <c r="B17" s="20" t="s">
        <v>65</v>
      </c>
      <c r="C17" s="20"/>
      <c r="D17" s="20"/>
      <c r="E17" s="20"/>
      <c r="F17" s="20" t="s">
        <v>66</v>
      </c>
      <c r="G17" s="20"/>
      <c r="H17" s="20"/>
      <c r="I17" s="80"/>
      <c r="J17" s="9"/>
      <c r="K17" s="79"/>
      <c r="L17" s="20"/>
      <c r="M17" s="20"/>
      <c r="N17" s="20"/>
      <c r="O17" s="20"/>
      <c r="P17" s="20"/>
      <c r="Q17" s="20"/>
      <c r="R17" s="20"/>
      <c r="S17" s="80"/>
      <c r="AD17" s="90"/>
      <c r="AE17" s="20">
        <v>5</v>
      </c>
      <c r="AF17" s="20">
        <v>20</v>
      </c>
      <c r="AG17" s="20">
        <v>3</v>
      </c>
      <c r="AH17" s="20"/>
      <c r="AI17" s="20"/>
      <c r="AJ17" s="20"/>
      <c r="AK17" s="20"/>
      <c r="AL17" s="20"/>
      <c r="AM17" s="20">
        <v>75</v>
      </c>
      <c r="AN17" s="20">
        <v>5</v>
      </c>
      <c r="AO17" s="20">
        <f>Tabela_PadroesTCs[[#This Row],[TC_alta]]/Tabela_PadroesTCs[[#This Row],[TC_baixa]]</f>
        <v>15</v>
      </c>
      <c r="AP17" s="20">
        <f>Tabela_PadroesTCs[[#This Row],[TC_alta]]*20</f>
        <v>1500</v>
      </c>
      <c r="AQ17" s="80"/>
      <c r="AT17" s="9">
        <v>41</v>
      </c>
      <c r="AU17" s="9">
        <v>10</v>
      </c>
      <c r="AV17" s="9"/>
      <c r="AW17" s="9">
        <v>50</v>
      </c>
      <c r="AX17" s="9">
        <v>10</v>
      </c>
    </row>
    <row r="18" spans="1:50" x14ac:dyDescent="0.25">
      <c r="A18" s="79"/>
      <c r="B18" s="20" t="s">
        <v>80</v>
      </c>
      <c r="C18" s="20"/>
      <c r="D18" s="20"/>
      <c r="E18" s="20"/>
      <c r="F18" s="20" t="s">
        <v>81</v>
      </c>
      <c r="G18" s="20"/>
      <c r="H18" s="20"/>
      <c r="I18" s="80"/>
      <c r="K18" s="79"/>
      <c r="L18" s="20" t="s">
        <v>174</v>
      </c>
      <c r="M18" s="20"/>
      <c r="N18" s="20"/>
      <c r="O18" s="20"/>
      <c r="P18" s="20" t="s">
        <v>175</v>
      </c>
      <c r="Q18" s="20"/>
      <c r="R18" s="20"/>
      <c r="S18" s="80"/>
      <c r="AD18" s="90"/>
      <c r="AE18" s="20">
        <v>6</v>
      </c>
      <c r="AF18" s="20">
        <v>16.600000000000001</v>
      </c>
      <c r="AG18" s="20">
        <v>4</v>
      </c>
      <c r="AH18" s="20"/>
      <c r="AI18" s="20"/>
      <c r="AJ18" s="20"/>
      <c r="AK18" s="20"/>
      <c r="AL18" s="20"/>
      <c r="AM18" s="20">
        <v>60</v>
      </c>
      <c r="AN18" s="20">
        <v>5</v>
      </c>
      <c r="AO18" s="20">
        <f>Tabela_PadroesTCs[[#This Row],[TC_alta]]/Tabela_PadroesTCs[[#This Row],[TC_baixa]]</f>
        <v>12</v>
      </c>
      <c r="AP18" s="20">
        <f>Tabela_PadroesTCs[[#This Row],[TC_alta]]*20</f>
        <v>1200</v>
      </c>
      <c r="AQ18" s="80"/>
      <c r="AT18" s="9">
        <v>71</v>
      </c>
      <c r="AU18" s="9">
        <v>1</v>
      </c>
      <c r="AV18" s="9"/>
      <c r="AW18" s="9">
        <v>85</v>
      </c>
      <c r="AX18" s="9">
        <v>1</v>
      </c>
    </row>
    <row r="19" spans="1:50" x14ac:dyDescent="0.25">
      <c r="A19" s="79"/>
      <c r="B19" s="20" t="s">
        <v>63</v>
      </c>
      <c r="C19" s="20" t="s">
        <v>62</v>
      </c>
      <c r="D19" s="20"/>
      <c r="E19" s="20"/>
      <c r="F19" s="20" t="s">
        <v>63</v>
      </c>
      <c r="G19" s="20" t="s">
        <v>62</v>
      </c>
      <c r="H19" s="20"/>
      <c r="I19" s="80"/>
      <c r="K19" s="79"/>
      <c r="L19" s="20" t="s">
        <v>178</v>
      </c>
      <c r="M19" s="20"/>
      <c r="N19" s="20"/>
      <c r="O19" s="20"/>
      <c r="P19" s="20" t="s">
        <v>180</v>
      </c>
      <c r="Q19" s="20"/>
      <c r="R19" s="20"/>
      <c r="S19" s="80"/>
      <c r="AD19" s="90"/>
      <c r="AE19" s="20">
        <v>7</v>
      </c>
      <c r="AF19" s="20">
        <v>14.3</v>
      </c>
      <c r="AG19" s="20">
        <v>5</v>
      </c>
      <c r="AH19" s="20"/>
      <c r="AI19" s="20"/>
      <c r="AJ19" s="20"/>
      <c r="AK19" s="20"/>
      <c r="AL19" s="20"/>
      <c r="AM19" s="20">
        <v>50</v>
      </c>
      <c r="AN19" s="20">
        <v>5</v>
      </c>
      <c r="AO19" s="20">
        <f>Tabela_PadroesTCs[[#This Row],[TC_alta]]/Tabela_PadroesTCs[[#This Row],[TC_baixa]]</f>
        <v>10</v>
      </c>
      <c r="AP19" s="20">
        <f>Tabela_PadroesTCs[[#This Row],[TC_alta]]*20</f>
        <v>1000</v>
      </c>
      <c r="AQ19" s="80"/>
      <c r="AT19" s="9">
        <v>180</v>
      </c>
      <c r="AU19" s="9">
        <v>0.1</v>
      </c>
      <c r="AV19" s="9"/>
      <c r="AW19" s="9">
        <v>250</v>
      </c>
      <c r="AX19" s="9">
        <v>0.1</v>
      </c>
    </row>
    <row r="20" spans="1:50" x14ac:dyDescent="0.25">
      <c r="A20" s="79"/>
      <c r="B20" s="49">
        <f>VLOOKUP(Rele_Cliente_fase[CURVA],Tabela_ParametrosCurvas[],2,FALSE)*Rele_Cliente_fase[DI]/((Curva_51_Cliente[[#This Row],[corrente]]/Rele_Cliente_fase[Ip])^VLOOKUP(Rele_Cliente_fase[CURVA],Tabela_ParametrosCurvas[],3,FALSE)-1)</f>
        <v>0.40176899063475552</v>
      </c>
      <c r="C20" s="49">
        <f>Rele_Cliente_fase[I_instantaneo]</f>
        <v>175.71529931858174</v>
      </c>
      <c r="D20" s="20"/>
      <c r="E20" s="20"/>
      <c r="F20" s="49">
        <f>VLOOKUP(Rele_Cliente_neutro[CURVA],Tabela_ParametrosCurvas[],2,FALSE)*Rele_Cliente_neutro[DIAL]/((Curva_51N_Cliente[[#This Row],[corrente]]/Rele_Cliente_neutro[Ip])^VLOOKUP(Rele_Cliente_neutro[CURVA],Tabela_ParametrosCurvas[],3,FALSE)-1)</f>
        <v>0.40176899063475546</v>
      </c>
      <c r="G20" s="49">
        <f>Rele_Cliente_neutro[I_instantaneo]</f>
        <v>58.571766439527252</v>
      </c>
      <c r="H20" s="20"/>
      <c r="I20" s="80"/>
      <c r="K20" s="79"/>
      <c r="L20" s="20" t="s">
        <v>63</v>
      </c>
      <c r="M20" s="20" t="s">
        <v>62</v>
      </c>
      <c r="N20" s="20"/>
      <c r="O20" s="20"/>
      <c r="P20" s="20" t="s">
        <v>63</v>
      </c>
      <c r="Q20" s="20" t="s">
        <v>62</v>
      </c>
      <c r="R20" s="20"/>
      <c r="S20" s="80"/>
      <c r="AD20" s="90"/>
      <c r="AE20" s="20"/>
      <c r="AF20" s="20"/>
      <c r="AG20" s="20"/>
      <c r="AH20" s="20"/>
      <c r="AI20" s="20"/>
      <c r="AJ20" s="20"/>
      <c r="AK20" s="20"/>
      <c r="AL20" s="20"/>
      <c r="AM20" s="20">
        <v>40</v>
      </c>
      <c r="AN20" s="20">
        <v>5</v>
      </c>
      <c r="AO20" s="20">
        <f>Tabela_PadroesTCs[[#This Row],[TC_alta]]/Tabela_PadroesTCs[[#This Row],[TC_baixa]]</f>
        <v>8</v>
      </c>
      <c r="AP20" s="20">
        <f>Tabela_PadroesTCs[[#This Row],[TC_alta]]*20</f>
        <v>800</v>
      </c>
      <c r="AQ20" s="80"/>
      <c r="AT20" s="9">
        <v>350</v>
      </c>
      <c r="AU20" s="9">
        <v>0.03</v>
      </c>
      <c r="AV20" s="9"/>
      <c r="AW20" s="9">
        <v>480</v>
      </c>
      <c r="AX20" s="9">
        <v>0.03</v>
      </c>
    </row>
    <row r="21" spans="1:50" x14ac:dyDescent="0.25">
      <c r="A21" s="79"/>
      <c r="B21" s="49">
        <f>VLOOKUP(Rele_Cliente_fase[CURVA],Tabela_ParametrosCurvas[],2,FALSE)*Rele_Cliente_fase[DI]/((Curva_51_Cliente[[#This Row],[corrente]]/Rele_Cliente_fase[Ip])^VLOOKUP(Rele_Cliente_fase[CURVA],Tabela_ParametrosCurvas[],3,FALSE)-1)</f>
        <v>0.5043485121442578</v>
      </c>
      <c r="C21" s="49">
        <f t="shared" ref="C21:C29" si="0">10^(LOG10(C20)+(LOG10($C$30)-LOG10($C$20))/10)</f>
        <v>144.60574310148158</v>
      </c>
      <c r="D21" s="20"/>
      <c r="E21" s="20"/>
      <c r="F21" s="49">
        <f>VLOOKUP(Rele_Cliente_neutro[CURVA],Tabela_ParametrosCurvas[],2,FALSE)*Rele_Cliente_neutro[DIAL]/((Curva_51N_Cliente[[#This Row],[corrente]]/Rele_Cliente_neutro[Ip])^VLOOKUP(Rele_Cliente_neutro[CURVA],Tabela_ParametrosCurvas[],3,FALSE)-1)</f>
        <v>0.5043485121442578</v>
      </c>
      <c r="G21" s="49">
        <f t="shared" ref="G21:G29" si="1">10^(LOG10(G20)+(LOG10($G$30)-LOG10($G$20))/10)</f>
        <v>48.201914367160526</v>
      </c>
      <c r="H21" s="20"/>
      <c r="I21" s="80"/>
      <c r="K21" s="79"/>
      <c r="L21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1" s="49">
        <f>Rele_Neo_fase[I_instantaneo]</f>
        <v>0</v>
      </c>
      <c r="N21" s="20"/>
      <c r="O21" s="20"/>
      <c r="P21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1" s="49">
        <f>Rele_Neo_neutro[I_instantaneo]</f>
        <v>0</v>
      </c>
      <c r="R21" s="20"/>
      <c r="S21" s="80"/>
      <c r="AD21" s="90"/>
      <c r="AE21" s="20" t="s">
        <v>170</v>
      </c>
      <c r="AF21" s="20"/>
      <c r="AG21" s="20"/>
      <c r="AH21" s="20"/>
      <c r="AI21" s="20"/>
      <c r="AJ21" s="20"/>
      <c r="AK21" s="20"/>
      <c r="AL21" s="20"/>
      <c r="AM21" s="20">
        <v>30</v>
      </c>
      <c r="AN21" s="20">
        <v>5</v>
      </c>
      <c r="AO21" s="20">
        <f>Tabela_PadroesTCs[[#This Row],[TC_alta]]/Tabela_PadroesTCs[[#This Row],[TC_baixa]]</f>
        <v>6</v>
      </c>
      <c r="AP21" s="20">
        <f>Tabela_PadroesTCs[[#This Row],[TC_alta]]*20</f>
        <v>600</v>
      </c>
      <c r="AQ21" s="80"/>
      <c r="AT21" s="9">
        <v>600</v>
      </c>
      <c r="AU21" s="9">
        <v>0.01</v>
      </c>
      <c r="AV21" s="9"/>
      <c r="AW21" s="9">
        <v>1100</v>
      </c>
      <c r="AX21" s="9">
        <v>1.4999999999999999E-2</v>
      </c>
    </row>
    <row r="22" spans="1:50" x14ac:dyDescent="0.25">
      <c r="A22" s="79"/>
      <c r="B22" s="49">
        <f>VLOOKUP(Rele_Cliente_fase[CURVA],Tabela_ParametrosCurvas[],2,FALSE)*Rele_Cliente_fase[DI]/((Curva_51_Cliente[[#This Row],[corrente]]/Rele_Cliente_fase[Ip])^VLOOKUP(Rele_Cliente_fase[CURVA],Tabela_ParametrosCurvas[],3,FALSE)-1)</f>
        <v>0.63851002239912424</v>
      </c>
      <c r="C22" s="49">
        <f t="shared" si="0"/>
        <v>119.00398553241047</v>
      </c>
      <c r="D22" s="20"/>
      <c r="E22" s="20"/>
      <c r="F22" s="49">
        <f>VLOOKUP(Rele_Cliente_neutro[CURVA],Tabela_ParametrosCurvas[],2,FALSE)*Rele_Cliente_neutro[DIAL]/((Curva_51N_Cliente[[#This Row],[corrente]]/Rele_Cliente_neutro[Ip])^VLOOKUP(Rele_Cliente_neutro[CURVA],Tabela_ParametrosCurvas[],3,FALSE)-1)</f>
        <v>0.63851002239912413</v>
      </c>
      <c r="G22" s="49">
        <f t="shared" si="1"/>
        <v>39.667995177470161</v>
      </c>
      <c r="H22" s="20"/>
      <c r="I22" s="80"/>
      <c r="K22" s="79"/>
      <c r="L22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2" s="49" t="e">
        <f t="shared" ref="M22:M30" si="2">10^(LOG10(M21)+(LOG10($M$31)-LOG10($M$21))/10)</f>
        <v>#NUM!</v>
      </c>
      <c r="N22" s="20"/>
      <c r="O22" s="20"/>
      <c r="P22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2" s="49" t="e">
        <f t="shared" ref="Q22:Q30" si="3">10^(LOG10(Q21)+(LOG10($Q$31)-LOG10($Q$21))/10)</f>
        <v>#NUM!</v>
      </c>
      <c r="R22" s="20"/>
      <c r="S22" s="80"/>
      <c r="AD22" s="90"/>
      <c r="AE22" s="20" t="s">
        <v>34</v>
      </c>
      <c r="AF22" s="20" t="s">
        <v>33</v>
      </c>
      <c r="AG22" s="20" t="s">
        <v>35</v>
      </c>
      <c r="AH22" s="20" t="s">
        <v>169</v>
      </c>
      <c r="AI22" s="20"/>
      <c r="AJ22" s="20"/>
      <c r="AK22" s="20"/>
      <c r="AL22" s="20"/>
      <c r="AM22" s="20">
        <v>25</v>
      </c>
      <c r="AN22" s="20">
        <v>5</v>
      </c>
      <c r="AO22" s="20">
        <f>Tabela_PadroesTCs[[#This Row],[TC_alta]]/Tabela_PadroesTCs[[#This Row],[TC_baixa]]</f>
        <v>5</v>
      </c>
      <c r="AP22" s="20">
        <f>Tabela_PadroesTCs[[#This Row],[TC_alta]]*20</f>
        <v>500</v>
      </c>
      <c r="AQ22" s="80"/>
      <c r="AT22" s="9"/>
      <c r="AU22" s="9"/>
      <c r="AV22" s="9"/>
      <c r="AW22" s="9"/>
      <c r="AX22" s="9"/>
    </row>
    <row r="23" spans="1:50" x14ac:dyDescent="0.25">
      <c r="A23" s="79"/>
      <c r="B23" s="49">
        <f>VLOOKUP(Rele_Cliente_fase[CURVA],Tabela_ParametrosCurvas[],2,FALSE)*Rele_Cliente_fase[DI]/((Curva_51_Cliente[[#This Row],[corrente]]/Rele_Cliente_fase[Ip])^VLOOKUP(Rele_Cliente_fase[CURVA],Tabela_ParametrosCurvas[],3,FALSE)-1)</f>
        <v>0.81746423189018669</v>
      </c>
      <c r="C23" s="49">
        <f t="shared" si="0"/>
        <v>97.934897113039099</v>
      </c>
      <c r="D23" s="20"/>
      <c r="E23" s="20"/>
      <c r="F23" s="49">
        <f>VLOOKUP(Rele_Cliente_neutro[CURVA],Tabela_ParametrosCurvas[],2,FALSE)*Rele_Cliente_neutro[DIAL]/((Curva_51N_Cliente[[#This Row],[corrente]]/Rele_Cliente_neutro[Ip])^VLOOKUP(Rele_Cliente_neutro[CURVA],Tabela_ParametrosCurvas[],3,FALSE)-1)</f>
        <v>0.81746423189018669</v>
      </c>
      <c r="G23" s="49">
        <f t="shared" si="1"/>
        <v>32.644965704346369</v>
      </c>
      <c r="H23" s="20"/>
      <c r="I23" s="80"/>
      <c r="K23" s="79"/>
      <c r="L23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3" s="49" t="e">
        <f t="shared" si="2"/>
        <v>#NUM!</v>
      </c>
      <c r="N23" s="20"/>
      <c r="O23" s="20"/>
      <c r="P23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3" s="49" t="e">
        <f t="shared" si="3"/>
        <v>#NUM!</v>
      </c>
      <c r="R23" s="20"/>
      <c r="S23" s="80"/>
      <c r="AD23" s="90"/>
      <c r="AE23" s="20" t="s">
        <v>36</v>
      </c>
      <c r="AF23" s="20">
        <v>13.5</v>
      </c>
      <c r="AG23" s="20">
        <v>1</v>
      </c>
      <c r="AH23" s="20">
        <v>43.2</v>
      </c>
      <c r="AI23" s="20"/>
      <c r="AJ23" s="20"/>
      <c r="AK23" s="20"/>
      <c r="AL23" s="20"/>
      <c r="AM23" s="20">
        <v>20</v>
      </c>
      <c r="AN23" s="20">
        <v>5</v>
      </c>
      <c r="AO23" s="20">
        <f>Tabela_PadroesTCs[[#This Row],[TC_alta]]/Tabela_PadroesTCs[[#This Row],[TC_baixa]]</f>
        <v>4</v>
      </c>
      <c r="AP23" s="20">
        <f>Tabela_PadroesTCs[[#This Row],[TC_alta]]*20</f>
        <v>400</v>
      </c>
      <c r="AQ23" s="80"/>
      <c r="AT23" s="9"/>
      <c r="AU23" s="9"/>
      <c r="AV23" s="9"/>
      <c r="AW23" s="9"/>
      <c r="AX23" s="9"/>
    </row>
    <row r="24" spans="1:50" x14ac:dyDescent="0.25">
      <c r="A24" s="79"/>
      <c r="B24" s="49">
        <f>VLOOKUP(Rele_Cliente_fase[CURVA],Tabela_ParametrosCurvas[],2,FALSE)*Rele_Cliente_fase[DI]/((Curva_51_Cliente[[#This Row],[corrente]]/Rele_Cliente_fase[Ip])^VLOOKUP(Rele_Cliente_fase[CURVA],Tabela_ParametrosCurvas[],3,FALSE)-1)</f>
        <v>1.0625363918942428</v>
      </c>
      <c r="C24" s="49">
        <f t="shared" si="0"/>
        <v>80.595990374871946</v>
      </c>
      <c r="D24" s="20"/>
      <c r="E24" s="20"/>
      <c r="F24" s="49">
        <f>VLOOKUP(Rele_Cliente_neutro[CURVA],Tabela_ParametrosCurvas[],2,FALSE)*Rele_Cliente_neutro[DIAL]/((Curva_51N_Cliente[[#This Row],[corrente]]/Rele_Cliente_neutro[Ip])^VLOOKUP(Rele_Cliente_neutro[CURVA],Tabela_ParametrosCurvas[],3,FALSE)-1)</f>
        <v>1.0625363918942425</v>
      </c>
      <c r="G24" s="49">
        <f t="shared" si="1"/>
        <v>26.865330124957318</v>
      </c>
      <c r="H24" s="20"/>
      <c r="I24" s="80"/>
      <c r="K24" s="79"/>
      <c r="L24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4" s="49" t="e">
        <f t="shared" si="2"/>
        <v>#NUM!</v>
      </c>
      <c r="N24" s="20"/>
      <c r="O24" s="20"/>
      <c r="P24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4" s="49" t="e">
        <f t="shared" si="3"/>
        <v>#NUM!</v>
      </c>
      <c r="R24" s="20"/>
      <c r="S24" s="80"/>
      <c r="AD24" s="90"/>
      <c r="AE24" s="20" t="s">
        <v>37</v>
      </c>
      <c r="AF24" s="20">
        <v>80</v>
      </c>
      <c r="AG24" s="20">
        <v>2</v>
      </c>
      <c r="AH24" s="20">
        <v>58.2</v>
      </c>
      <c r="AI24" s="20"/>
      <c r="AJ24" s="20"/>
      <c r="AK24" s="20"/>
      <c r="AL24" s="20"/>
      <c r="AM24" s="20">
        <v>15</v>
      </c>
      <c r="AN24" s="20">
        <v>5</v>
      </c>
      <c r="AO24" s="20">
        <f>Tabela_PadroesTCs[[#This Row],[TC_alta]]/Tabela_PadroesTCs[[#This Row],[TC_baixa]]</f>
        <v>3</v>
      </c>
      <c r="AP24" s="20">
        <f>Tabela_PadroesTCs[[#This Row],[TC_alta]]*20</f>
        <v>300</v>
      </c>
      <c r="AQ24" s="80"/>
      <c r="AT24" s="9" t="s">
        <v>55</v>
      </c>
      <c r="AU24" s="9"/>
      <c r="AV24" s="9"/>
      <c r="AW24" s="9" t="s">
        <v>71</v>
      </c>
      <c r="AX24" s="9"/>
    </row>
    <row r="25" spans="1:50" x14ac:dyDescent="0.25">
      <c r="A25" s="79"/>
      <c r="B25" s="49">
        <f>VLOOKUP(Rele_Cliente_fase[CURVA],Tabela_ParametrosCurvas[],2,FALSE)*Rele_Cliente_fase[DI]/((Curva_51_Cliente[[#This Row],[corrente]]/Rele_Cliente_fase[Ip])^VLOOKUP(Rele_Cliente_fase[CURVA],Tabela_ParametrosCurvas[],3,FALSE)-1)</f>
        <v>1.4105430252119642</v>
      </c>
      <c r="C25" s="49">
        <f t="shared" si="0"/>
        <v>66.326854430744163</v>
      </c>
      <c r="D25" s="20"/>
      <c r="E25" s="20"/>
      <c r="F25" s="49">
        <f>VLOOKUP(Rele_Cliente_neutro[CURVA],Tabela_ParametrosCurvas[],2,FALSE)*Rele_Cliente_neutro[DIAL]/((Curva_51N_Cliente[[#This Row],[corrente]]/Rele_Cliente_neutro[Ip])^VLOOKUP(Rele_Cliente_neutro[CURVA],Tabela_ParametrosCurvas[],3,FALSE)-1)</f>
        <v>1.4105430252119644</v>
      </c>
      <c r="G25" s="49">
        <f t="shared" si="1"/>
        <v>22.108951476914715</v>
      </c>
      <c r="H25" s="20"/>
      <c r="I25" s="80"/>
      <c r="K25" s="79"/>
      <c r="L25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5" s="49" t="e">
        <f t="shared" si="2"/>
        <v>#NUM!</v>
      </c>
      <c r="N25" s="20"/>
      <c r="O25" s="20"/>
      <c r="P25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5" s="49" t="e">
        <f t="shared" si="3"/>
        <v>#NUM!</v>
      </c>
      <c r="R25" s="20"/>
      <c r="S25" s="80"/>
      <c r="AD25" s="90"/>
      <c r="AE25" s="20" t="s">
        <v>162</v>
      </c>
      <c r="AF25" s="20">
        <v>0.14000000000000001</v>
      </c>
      <c r="AG25" s="20">
        <v>0.02</v>
      </c>
      <c r="AH25" s="20">
        <v>9.6999999999999993</v>
      </c>
      <c r="AI25" s="20"/>
      <c r="AJ25" s="20"/>
      <c r="AK25" s="20"/>
      <c r="AL25" s="20"/>
      <c r="AM25" s="20">
        <v>10</v>
      </c>
      <c r="AN25" s="20">
        <v>5</v>
      </c>
      <c r="AO25" s="20">
        <f>Tabela_PadroesTCs[[#This Row],[TC_alta]]/Tabela_PadroesTCs[[#This Row],[TC_baixa]]</f>
        <v>2</v>
      </c>
      <c r="AP25" s="20">
        <f>Tabela_PadroesTCs[[#This Row],[TC_alta]]*20</f>
        <v>200</v>
      </c>
      <c r="AQ25" s="80"/>
      <c r="AT25" s="9" t="s">
        <v>53</v>
      </c>
      <c r="AU25" s="9" t="s">
        <v>54</v>
      </c>
      <c r="AV25" s="9"/>
      <c r="AW25" s="9" t="s">
        <v>53</v>
      </c>
      <c r="AX25" s="9" t="s">
        <v>54</v>
      </c>
    </row>
    <row r="26" spans="1:50" x14ac:dyDescent="0.25">
      <c r="A26" s="79"/>
      <c r="B26" s="49">
        <f>VLOOKUP(Rele_Cliente_fase[CURVA],Tabela_ParametrosCurvas[],2,FALSE)*Rele_Cliente_fase[DI]/((Curva_51_Cliente[[#This Row],[corrente]]/Rele_Cliente_fase[Ip])^VLOOKUP(Rele_Cliente_fase[CURVA],Tabela_ParametrosCurvas[],3,FALSE)-1)</f>
        <v>1.9310280780892479</v>
      </c>
      <c r="C26" s="49">
        <f t="shared" si="0"/>
        <v>54.584000993289074</v>
      </c>
      <c r="D26" s="20"/>
      <c r="E26" s="20"/>
      <c r="F26" s="49">
        <f>VLOOKUP(Rele_Cliente_neutro[CURVA],Tabela_ParametrosCurvas[],2,FALSE)*Rele_Cliente_neutro[DIAL]/((Curva_51N_Cliente[[#This Row],[corrente]]/Rele_Cliente_neutro[Ip])^VLOOKUP(Rele_Cliente_neutro[CURVA],Tabela_ParametrosCurvas[],3,FALSE)-1)</f>
        <v>1.9310280780892493</v>
      </c>
      <c r="G26" s="49">
        <f t="shared" si="1"/>
        <v>18.194666997763019</v>
      </c>
      <c r="H26" s="20"/>
      <c r="I26" s="80"/>
      <c r="K26" s="79"/>
      <c r="L26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6" s="49" t="e">
        <f t="shared" si="2"/>
        <v>#NUM!</v>
      </c>
      <c r="N26" s="20"/>
      <c r="O26" s="20"/>
      <c r="P26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6" s="49" t="e">
        <f t="shared" si="3"/>
        <v>#NUM!</v>
      </c>
      <c r="R26" s="20"/>
      <c r="S26" s="80"/>
      <c r="AD26" s="90"/>
      <c r="AE26" s="20" t="s">
        <v>163</v>
      </c>
      <c r="AF26" s="20">
        <v>0.14000000000000001</v>
      </c>
      <c r="AG26" s="20">
        <v>0.02</v>
      </c>
      <c r="AH26" s="20">
        <v>9.6999999999999993</v>
      </c>
      <c r="AI26" s="20"/>
      <c r="AJ26" s="20"/>
      <c r="AK26" s="20"/>
      <c r="AL26" s="20"/>
      <c r="AM26" s="20">
        <v>5</v>
      </c>
      <c r="AN26" s="20">
        <v>5</v>
      </c>
      <c r="AO26" s="20">
        <f>Tabela_PadroesTCs[[#This Row],[TC_alta]]/Tabela_PadroesTCs[[#This Row],[TC_baixa]]</f>
        <v>1</v>
      </c>
      <c r="AP26" s="20">
        <f>Tabela_PadroesTCs[[#This Row],[TC_alta]]*20</f>
        <v>100</v>
      </c>
      <c r="AQ26" s="80"/>
      <c r="AT26" s="9">
        <v>51</v>
      </c>
      <c r="AU26" s="9">
        <v>100</v>
      </c>
      <c r="AV26" s="9"/>
      <c r="AW26" s="9">
        <v>62</v>
      </c>
      <c r="AX26" s="9">
        <v>100</v>
      </c>
    </row>
    <row r="27" spans="1:50" x14ac:dyDescent="0.25">
      <c r="A27" s="79"/>
      <c r="B27" s="49">
        <f>VLOOKUP(Rele_Cliente_fase[CURVA],Tabela_ParametrosCurvas[],2,FALSE)*Rele_Cliente_fase[DI]/((Curva_51_Cliente[[#This Row],[corrente]]/Rele_Cliente_fase[Ip])^VLOOKUP(Rele_Cliente_fase[CURVA],Tabela_ParametrosCurvas[],3,FALSE)-1)</f>
        <v>2.7731396341730372</v>
      </c>
      <c r="C27" s="49">
        <f t="shared" si="0"/>
        <v>44.920163785942329</v>
      </c>
      <c r="D27" s="20"/>
      <c r="E27" s="20"/>
      <c r="F27" s="49">
        <f>VLOOKUP(Rele_Cliente_neutro[CURVA],Tabela_ParametrosCurvas[],2,FALSE)*Rele_Cliente_neutro[DIAL]/((Curva_51N_Cliente[[#This Row],[corrente]]/Rele_Cliente_neutro[Ip])^VLOOKUP(Rele_Cliente_neutro[CURVA],Tabela_ParametrosCurvas[],3,FALSE)-1)</f>
        <v>2.773139634173039</v>
      </c>
      <c r="G27" s="49">
        <f t="shared" si="1"/>
        <v>14.973387928647437</v>
      </c>
      <c r="H27" s="20"/>
      <c r="I27" s="80"/>
      <c r="K27" s="79"/>
      <c r="L27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7" s="49" t="e">
        <f t="shared" si="2"/>
        <v>#NUM!</v>
      </c>
      <c r="N27" s="20"/>
      <c r="O27" s="20"/>
      <c r="P27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7" s="49" t="e">
        <f t="shared" si="3"/>
        <v>#NUM!</v>
      </c>
      <c r="R27" s="20"/>
      <c r="S27" s="80"/>
      <c r="AD27" s="90"/>
      <c r="AE27" s="20" t="s">
        <v>164</v>
      </c>
      <c r="AF27" s="20">
        <v>0.05</v>
      </c>
      <c r="AG27" s="20">
        <v>0.04</v>
      </c>
      <c r="AH27" s="20">
        <v>0.5</v>
      </c>
      <c r="AI27" s="20"/>
      <c r="AJ27" s="20"/>
      <c r="AK27" s="20"/>
      <c r="AL27" s="20"/>
      <c r="AM27" s="20"/>
      <c r="AN27" s="20"/>
      <c r="AO27" s="20"/>
      <c r="AP27" s="20"/>
      <c r="AQ27" s="80"/>
      <c r="AT27" s="9">
        <v>62</v>
      </c>
      <c r="AU27" s="9">
        <v>10</v>
      </c>
      <c r="AV27" s="9"/>
      <c r="AW27" s="9">
        <v>75</v>
      </c>
      <c r="AX27" s="9">
        <v>10</v>
      </c>
    </row>
    <row r="28" spans="1:50" x14ac:dyDescent="0.25">
      <c r="A28" s="79"/>
      <c r="B28" s="49">
        <f>VLOOKUP(Rele_Cliente_fase[CURVA],Tabela_ParametrosCurvas[],2,FALSE)*Rele_Cliente_fase[DI]/((Curva_51_Cliente[[#This Row],[corrente]]/Rele_Cliente_fase[Ip])^VLOOKUP(Rele_Cliente_fase[CURVA],Tabela_ParametrosCurvas[],3,FALSE)-1)</f>
        <v>4.3255043137170501</v>
      </c>
      <c r="C28" s="49">
        <f t="shared" si="0"/>
        <v>36.96726289456079</v>
      </c>
      <c r="D28" s="20"/>
      <c r="E28" s="20"/>
      <c r="F28" s="49">
        <f>VLOOKUP(Rele_Cliente_neutro[CURVA],Tabela_ParametrosCurvas[],2,FALSE)*Rele_Cliente_neutro[DIAL]/((Curva_51N_Cliente[[#This Row],[corrente]]/Rele_Cliente_neutro[Ip])^VLOOKUP(Rele_Cliente_neutro[CURVA],Tabela_ParametrosCurvas[],3,FALSE)-1)</f>
        <v>4.3255043137170572</v>
      </c>
      <c r="G28" s="49">
        <f t="shared" si="1"/>
        <v>12.322420964853587</v>
      </c>
      <c r="H28" s="20"/>
      <c r="I28" s="80"/>
      <c r="K28" s="79"/>
      <c r="L28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8" s="49" t="e">
        <f t="shared" si="2"/>
        <v>#NUM!</v>
      </c>
      <c r="N28" s="20"/>
      <c r="O28" s="20"/>
      <c r="P28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8" s="49" t="e">
        <f t="shared" si="3"/>
        <v>#NUM!</v>
      </c>
      <c r="R28" s="20"/>
      <c r="S28" s="80"/>
      <c r="AD28" s="90"/>
      <c r="AE28" s="20" t="s">
        <v>165</v>
      </c>
      <c r="AF28" s="20">
        <v>120</v>
      </c>
      <c r="AG28" s="20">
        <v>1</v>
      </c>
      <c r="AH28" s="20">
        <v>120</v>
      </c>
      <c r="AI28" s="20"/>
      <c r="AJ28" s="20"/>
      <c r="AK28" s="20"/>
      <c r="AL28" s="20"/>
      <c r="AM28" s="20"/>
      <c r="AN28" s="20"/>
      <c r="AO28" s="20"/>
      <c r="AP28" s="20"/>
      <c r="AQ28" s="80"/>
      <c r="AT28" s="9">
        <v>110</v>
      </c>
      <c r="AU28" s="9">
        <v>1</v>
      </c>
      <c r="AV28" s="9"/>
      <c r="AW28" s="9">
        <v>130</v>
      </c>
      <c r="AX28" s="9">
        <v>1</v>
      </c>
    </row>
    <row r="29" spans="1:50" x14ac:dyDescent="0.25">
      <c r="A29" s="79"/>
      <c r="B29" s="49">
        <f>VLOOKUP(Rele_Cliente_fase[CURVA],Tabela_ParametrosCurvas[],2,FALSE)*Rele_Cliente_fase[DI]/((Curva_51_Cliente[[#This Row],[corrente]]/Rele_Cliente_fase[Ip])^VLOOKUP(Rele_Cliente_fase[CURVA],Tabela_ParametrosCurvas[],3,FALSE)-1)</f>
        <v>8.0202710592633331</v>
      </c>
      <c r="C29" s="49">
        <f t="shared" si="0"/>
        <v>30.422385199388764</v>
      </c>
      <c r="D29" s="20"/>
      <c r="E29" s="20"/>
      <c r="F29" s="49">
        <f>VLOOKUP(Rele_Cliente_neutro[CURVA],Tabela_ParametrosCurvas[],2,FALSE)*Rele_Cliente_neutro[DIAL]/((Curva_51N_Cliente[[#This Row],[corrente]]/Rele_Cliente_neutro[Ip])^VLOOKUP(Rele_Cliente_neutro[CURVA],Tabela_ParametrosCurvas[],3,FALSE)-1)</f>
        <v>8.0202710592633544</v>
      </c>
      <c r="G29" s="49">
        <f t="shared" si="1"/>
        <v>10.140795066462914</v>
      </c>
      <c r="H29" s="20"/>
      <c r="I29" s="80"/>
      <c r="K29" s="79"/>
      <c r="L29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29" s="49" t="e">
        <f t="shared" si="2"/>
        <v>#NUM!</v>
      </c>
      <c r="N29" s="20"/>
      <c r="O29" s="20"/>
      <c r="P29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29" s="49" t="e">
        <f t="shared" si="3"/>
        <v>#NUM!</v>
      </c>
      <c r="R29" s="20"/>
      <c r="S29" s="80"/>
      <c r="AD29" s="90"/>
      <c r="AE29" s="20" t="s">
        <v>166</v>
      </c>
      <c r="AF29" s="20">
        <v>13.5</v>
      </c>
      <c r="AG29" s="20">
        <v>1</v>
      </c>
      <c r="AH29" s="20">
        <v>43.2</v>
      </c>
      <c r="AI29" s="20"/>
      <c r="AJ29" s="20"/>
      <c r="AK29" s="20"/>
      <c r="AL29" s="20"/>
      <c r="AM29" s="20"/>
      <c r="AN29" s="20"/>
      <c r="AO29" s="20"/>
      <c r="AP29" s="20"/>
      <c r="AQ29" s="80"/>
      <c r="AT29" s="9">
        <v>310</v>
      </c>
      <c r="AU29" s="9">
        <v>0.1</v>
      </c>
      <c r="AV29" s="9"/>
      <c r="AW29" s="9">
        <v>400</v>
      </c>
      <c r="AX29" s="9">
        <v>0.1</v>
      </c>
    </row>
    <row r="30" spans="1:50" x14ac:dyDescent="0.25">
      <c r="A30" s="79"/>
      <c r="B30" s="49">
        <f>VLOOKUP(Rele_Cliente_fase[CURVA],Tabela_ParametrosCurvas[],2,FALSE)*Rele_Cliente_fase[DI]/((Curva_51_Cliente[[#This Row],[corrente]]/Rele_Cliente_fase[Ip])^VLOOKUP(Rele_Cliente_fase[CURVA],Tabela_ParametrosCurvas[],3,FALSE)-1)</f>
        <v>26.999999999999979</v>
      </c>
      <c r="C30" s="49">
        <f>1.1*Rele_Cliente_fase[Ip]</f>
        <v>25.036246904721839</v>
      </c>
      <c r="D30" s="20"/>
      <c r="E30" s="20"/>
      <c r="F30" s="49">
        <f>VLOOKUP(Rele_Cliente_neutro[CURVA],Tabela_ParametrosCurvas[],2,FALSE)*Rele_Cliente_neutro[DIAL]/((Curva_51N_Cliente[[#This Row],[corrente]]/Rele_Cliente_neutro[Ip])^VLOOKUP(Rele_Cliente_neutro[CURVA],Tabela_ParametrosCurvas[],3,FALSE)-1)</f>
        <v>26.999999999999979</v>
      </c>
      <c r="G30" s="49">
        <f>1.1*Rele_Cliente_neutro[Ip]</f>
        <v>8.3454156349072797</v>
      </c>
      <c r="H30" s="20"/>
      <c r="I30" s="80"/>
      <c r="K30" s="79"/>
      <c r="L30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30" s="49" t="e">
        <f t="shared" si="2"/>
        <v>#NUM!</v>
      </c>
      <c r="N30" s="20"/>
      <c r="O30" s="20"/>
      <c r="P30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30" s="49" t="e">
        <f t="shared" si="3"/>
        <v>#NUM!</v>
      </c>
      <c r="R30" s="20"/>
      <c r="S30" s="80"/>
      <c r="AD30" s="90"/>
      <c r="AE30" s="20" t="s">
        <v>167</v>
      </c>
      <c r="AF30" s="20">
        <v>80</v>
      </c>
      <c r="AG30" s="20">
        <v>2</v>
      </c>
      <c r="AH30" s="20">
        <v>58.2</v>
      </c>
      <c r="AI30" s="20"/>
      <c r="AJ30" s="20"/>
      <c r="AK30" s="20"/>
      <c r="AL30" s="20"/>
      <c r="AM30" s="20"/>
      <c r="AN30" s="20"/>
      <c r="AO30" s="20"/>
      <c r="AP30" s="20"/>
      <c r="AQ30" s="80"/>
      <c r="AT30" s="9">
        <v>560</v>
      </c>
      <c r="AU30" s="9">
        <v>0.03</v>
      </c>
      <c r="AV30" s="9"/>
      <c r="AW30" s="9">
        <v>850</v>
      </c>
      <c r="AX30" s="9">
        <v>0.03</v>
      </c>
    </row>
    <row r="31" spans="1:50" x14ac:dyDescent="0.25">
      <c r="A31" s="79"/>
      <c r="B31" s="20"/>
      <c r="C31" s="20"/>
      <c r="D31" s="20"/>
      <c r="E31" s="20"/>
      <c r="F31" s="20"/>
      <c r="G31" s="20"/>
      <c r="H31" s="20"/>
      <c r="I31" s="80"/>
      <c r="K31" s="79"/>
      <c r="L31" s="49" t="e">
        <f>VLOOKUP(Rele_Neo_fase[CURVA],Tabela_ParametrosCurvas[],2,FALSE)*Rele_Neo_fase[DIAL]/((Tabela_tempFaseNeoenergia[[#This Row],[corrente]]/Rele_Neo_fase[Ip])^VLOOKUP(Rele_Neo_fase[CURVA],Tabela_ParametrosCurvas[],3,FALSE)-1)</f>
        <v>#N/A</v>
      </c>
      <c r="M31" s="49">
        <f>Rele_Neo_fase[Ip]*1.1</f>
        <v>0</v>
      </c>
      <c r="N31" s="20"/>
      <c r="O31" s="20"/>
      <c r="P31" s="49" t="e">
        <f>VLOOKUP(Rele_Neo_neutro[CURVA],Tabela_ParametrosCurvas[],2,FALSE)*Rele_Neo_neutro[DIAL]/((Tabela_tempNeutroNeoenergia[[#This Row],[corrente]]/Rele_Neo_neutro[Ip])^VLOOKUP(Rele_Neo_neutro[CURVA],Tabela_ParametrosCurvas[],3,FALSE)-1)</f>
        <v>#N/A</v>
      </c>
      <c r="Q31" s="49">
        <f>1.1*Rele_Neo_neutro[Ip]</f>
        <v>0</v>
      </c>
      <c r="R31" s="20"/>
      <c r="S31" s="80"/>
      <c r="AD31" s="90"/>
      <c r="AE31" s="20" t="s">
        <v>168</v>
      </c>
      <c r="AF31" s="20">
        <v>2.6</v>
      </c>
      <c r="AG31" s="20">
        <v>1</v>
      </c>
      <c r="AH31" s="20">
        <v>21.2</v>
      </c>
      <c r="AI31" s="20"/>
      <c r="AJ31" s="20"/>
      <c r="AK31" s="20"/>
      <c r="AL31" s="20"/>
      <c r="AM31" s="20"/>
      <c r="AN31" s="20"/>
      <c r="AO31" s="20"/>
      <c r="AP31" s="20"/>
      <c r="AQ31" s="80"/>
      <c r="AT31" s="9">
        <v>980</v>
      </c>
      <c r="AU31" s="9">
        <v>0.01</v>
      </c>
      <c r="AV31" s="9"/>
      <c r="AW31" s="9">
        <v>1900</v>
      </c>
      <c r="AX31" s="9">
        <v>1.4999999999999999E-2</v>
      </c>
    </row>
    <row r="32" spans="1:50" ht="15.75" thickBot="1" x14ac:dyDescent="0.3">
      <c r="A32" s="79"/>
      <c r="B32" s="20" t="str">
        <f>"Elo Mín. de "&amp; '1.Formulário'!AL7</f>
        <v>Elo Mín. de 40K</v>
      </c>
      <c r="C32" s="49"/>
      <c r="D32" s="49"/>
      <c r="E32" s="20"/>
      <c r="F32" s="20" t="str">
        <f>"Elo Máx. de "&amp; '1.Formulário'!AL7</f>
        <v>Elo Máx. de 40K</v>
      </c>
      <c r="G32" s="20"/>
      <c r="H32" s="20"/>
      <c r="I32" s="80"/>
      <c r="K32" s="82"/>
      <c r="L32" s="83"/>
      <c r="M32" s="83"/>
      <c r="N32" s="83"/>
      <c r="O32" s="83"/>
      <c r="P32" s="83"/>
      <c r="Q32" s="83"/>
      <c r="R32" s="83"/>
      <c r="S32" s="84"/>
      <c r="AD32" s="9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80"/>
      <c r="AT32" s="9"/>
      <c r="AU32" s="9"/>
      <c r="AV32" s="9"/>
      <c r="AW32" s="9"/>
      <c r="AX32" s="9"/>
    </row>
    <row r="33" spans="1:50" x14ac:dyDescent="0.25">
      <c r="A33" s="79"/>
      <c r="B33" s="47" t="s">
        <v>45</v>
      </c>
      <c r="C33" s="47" t="s">
        <v>53</v>
      </c>
      <c r="D33" s="47" t="s">
        <v>54</v>
      </c>
      <c r="E33" s="39"/>
      <c r="F33" s="47" t="s">
        <v>45</v>
      </c>
      <c r="G33" s="47" t="s">
        <v>53</v>
      </c>
      <c r="H33" s="47" t="s">
        <v>54</v>
      </c>
      <c r="I33" s="80"/>
      <c r="AD33" s="9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80"/>
      <c r="AT33" s="9" t="s">
        <v>72</v>
      </c>
      <c r="AU33" s="9"/>
      <c r="AV33" s="9"/>
      <c r="AW33" s="9" t="s">
        <v>73</v>
      </c>
      <c r="AX33" s="9"/>
    </row>
    <row r="34" spans="1:50" x14ac:dyDescent="0.25">
      <c r="A34" s="79"/>
      <c r="B34" s="48" t="str">
        <f>'1.Formulário'!$AL$7</f>
        <v>40K</v>
      </c>
      <c r="C34" s="48">
        <f>VLOOKUP(Tabela_EloMin[[#This Row],[Elo]]&amp;Tabela_EloMin[[#This Row],[Tempo]],Tabela_Elos_Imin[],3,FALSE)</f>
        <v>89</v>
      </c>
      <c r="D34" s="48">
        <v>100</v>
      </c>
      <c r="E34" s="39"/>
      <c r="F34" s="48" t="str">
        <f>'1.Formulário'!$AL$7</f>
        <v>40K</v>
      </c>
      <c r="G34" s="48">
        <f>VLOOKUP(Tabela_EloMax[[#This Row],[Elo]]&amp;Tabela_EloMax[[#This Row],[Tempo]],Tabela_Elos_Imax[],3,FALSE)</f>
        <v>100</v>
      </c>
      <c r="H34" s="48">
        <v>100</v>
      </c>
      <c r="I34" s="80"/>
      <c r="AD34" s="9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80"/>
      <c r="AT34" s="9" t="s">
        <v>53</v>
      </c>
      <c r="AU34" s="9" t="s">
        <v>54</v>
      </c>
      <c r="AV34" s="9"/>
      <c r="AW34" s="9" t="s">
        <v>53</v>
      </c>
      <c r="AX34" s="9" t="s">
        <v>54</v>
      </c>
    </row>
    <row r="35" spans="1:50" x14ac:dyDescent="0.25">
      <c r="A35" s="79"/>
      <c r="B35" s="48" t="str">
        <f>'1.Formulário'!$AL$7</f>
        <v>40K</v>
      </c>
      <c r="C35" s="48">
        <f>VLOOKUP(Tabela_EloMin[[#This Row],[Elo]]&amp;Tabela_EloMin[[#This Row],[Tempo]],Tabela_Elos_Imin[],3,FALSE)</f>
        <v>110</v>
      </c>
      <c r="D35" s="48">
        <v>10</v>
      </c>
      <c r="E35" s="39"/>
      <c r="F35" s="48" t="str">
        <f>'1.Formulário'!$AL$7</f>
        <v>40K</v>
      </c>
      <c r="G35" s="48">
        <f>VLOOKUP(Tabela_EloMax[[#This Row],[Elo]]&amp;Tabela_EloMax[[#This Row],[Tempo]],Tabela_Elos_Imax[],3,FALSE)</f>
        <v>130</v>
      </c>
      <c r="H35" s="48">
        <v>10</v>
      </c>
      <c r="I35" s="80"/>
      <c r="AD35" s="9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80"/>
      <c r="AT35" s="9">
        <v>89</v>
      </c>
      <c r="AU35" s="9">
        <v>100</v>
      </c>
      <c r="AV35" s="9"/>
      <c r="AW35" s="9">
        <v>100</v>
      </c>
      <c r="AX35" s="9">
        <v>100</v>
      </c>
    </row>
    <row r="36" spans="1:50" x14ac:dyDescent="0.25">
      <c r="A36" s="79"/>
      <c r="B36" s="48" t="str">
        <f>'1.Formulário'!$AL$7</f>
        <v>40K</v>
      </c>
      <c r="C36" s="48">
        <f>VLOOKUP(Tabela_EloMin[[#This Row],[Elo]]&amp;Tabela_EloMin[[#This Row],[Tempo]],Tabela_Elos_Imin[],3,FALSE)</f>
        <v>180</v>
      </c>
      <c r="D36" s="48">
        <v>1</v>
      </c>
      <c r="E36" s="39"/>
      <c r="F36" s="48" t="str">
        <f>'1.Formulário'!$AL$7</f>
        <v>40K</v>
      </c>
      <c r="G36" s="48">
        <f>VLOOKUP(Tabela_EloMax[[#This Row],[Elo]]&amp;Tabela_EloMax[[#This Row],[Tempo]],Tabela_Elos_Imax[],3,FALSE)</f>
        <v>270</v>
      </c>
      <c r="H36" s="48">
        <v>1</v>
      </c>
      <c r="I36" s="80"/>
      <c r="AD36" s="9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80"/>
      <c r="AT36" s="9">
        <v>110</v>
      </c>
      <c r="AU36" s="9">
        <v>10</v>
      </c>
      <c r="AV36" s="9"/>
      <c r="AW36" s="9">
        <v>130</v>
      </c>
      <c r="AX36" s="9">
        <v>10</v>
      </c>
    </row>
    <row r="37" spans="1:50" x14ac:dyDescent="0.25">
      <c r="A37" s="79"/>
      <c r="B37" s="48" t="str">
        <f>'1.Formulário'!$AL$7</f>
        <v>40K</v>
      </c>
      <c r="C37" s="48">
        <f>VLOOKUP(Tabela_EloMin[[#This Row],[Elo]]&amp;Tabela_EloMin[[#This Row],[Tempo]],Tabela_Elos_Imin[],3,FALSE)</f>
        <v>500</v>
      </c>
      <c r="D37" s="48">
        <v>0.1</v>
      </c>
      <c r="E37" s="39"/>
      <c r="F37" s="48" t="str">
        <f>'1.Formulário'!$AL$7</f>
        <v>40K</v>
      </c>
      <c r="G37" s="48">
        <f>VLOOKUP(Tabela_EloMax[[#This Row],[Elo]]&amp;Tabela_EloMax[[#This Row],[Tempo]],Tabela_Elos_Imax[],3,FALSE)</f>
        <v>650</v>
      </c>
      <c r="H37" s="48">
        <v>0.1</v>
      </c>
      <c r="I37" s="80"/>
      <c r="AD37" s="9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80"/>
      <c r="AT37" s="9">
        <v>180</v>
      </c>
      <c r="AU37" s="9">
        <v>1</v>
      </c>
      <c r="AV37" s="9"/>
      <c r="AW37" s="9">
        <v>270</v>
      </c>
      <c r="AX37" s="9">
        <v>1</v>
      </c>
    </row>
    <row r="38" spans="1:50" x14ac:dyDescent="0.25">
      <c r="A38" s="79"/>
      <c r="B38" s="48" t="str">
        <f>'1.Formulário'!$AL$7</f>
        <v>40K</v>
      </c>
      <c r="C38" s="48">
        <f>VLOOKUP(Tabela_EloMin[[#This Row],[Elo]]&amp;Tabela_EloMin[[#This Row],[Tempo]],Tabela_Elos_Imin[],3,FALSE)</f>
        <v>900</v>
      </c>
      <c r="D38" s="48">
        <v>0.03</v>
      </c>
      <c r="E38" s="39"/>
      <c r="F38" s="48" t="str">
        <f>'1.Formulário'!$AL$7</f>
        <v>40K</v>
      </c>
      <c r="G38" s="48">
        <f>VLOOKUP(Tabela_EloMax[[#This Row],[Elo]]&amp;Tabela_EloMax[[#This Row],[Tempo]],Tabela_Elos_Imax[],3,FALSE)</f>
        <v>1350</v>
      </c>
      <c r="H38" s="48">
        <v>0.03</v>
      </c>
      <c r="I38" s="80"/>
      <c r="AD38" s="90"/>
      <c r="AE38" s="20" t="s">
        <v>113</v>
      </c>
      <c r="AF38" s="20"/>
      <c r="AG38" s="20"/>
      <c r="AH38" s="20"/>
      <c r="AI38" s="20"/>
      <c r="AJ38" s="20" t="s">
        <v>114</v>
      </c>
      <c r="AK38" s="20"/>
      <c r="AL38" s="20"/>
      <c r="AM38" s="20"/>
      <c r="AN38" s="20"/>
      <c r="AO38" s="20"/>
      <c r="AP38" s="20"/>
      <c r="AQ38" s="80"/>
      <c r="AT38" s="9">
        <v>500</v>
      </c>
      <c r="AU38" s="9">
        <v>0.1</v>
      </c>
      <c r="AV38" s="9"/>
      <c r="AW38" s="9">
        <v>650</v>
      </c>
      <c r="AX38" s="9">
        <v>0.1</v>
      </c>
    </row>
    <row r="39" spans="1:50" x14ac:dyDescent="0.25">
      <c r="A39" s="79"/>
      <c r="B39" s="48" t="str">
        <f>'1.Formulário'!$AL$7</f>
        <v>40K</v>
      </c>
      <c r="C39" s="48">
        <f>VLOOKUP(Tabela_EloMin[[#This Row],[Elo]]&amp;Tabela_EloMin[[#This Row],[Tempo]],Tabela_Elos_Imin[],3,FALSE)</f>
        <v>1500</v>
      </c>
      <c r="D39" s="48">
        <v>0.01</v>
      </c>
      <c r="E39" s="39"/>
      <c r="F39" s="48" t="str">
        <f>'1.Formulário'!$AL$7</f>
        <v>40K</v>
      </c>
      <c r="G39" s="48">
        <f>VLOOKUP(Tabela_EloMax[[#This Row],[Elo]]&amp;Tabela_EloMax[[#This Row],[Tempo]],Tabela_Elos_Imax[],3,FALSE)</f>
        <v>3000</v>
      </c>
      <c r="H39" s="48">
        <v>1.4999999999999999E-2</v>
      </c>
      <c r="I39" s="80"/>
      <c r="AD39" s="90"/>
      <c r="AE39" s="20" t="s">
        <v>115</v>
      </c>
      <c r="AF39" s="20" t="s">
        <v>45</v>
      </c>
      <c r="AG39" s="20" t="s">
        <v>53</v>
      </c>
      <c r="AH39" s="20" t="s">
        <v>54</v>
      </c>
      <c r="AI39" s="20"/>
      <c r="AJ39" s="20" t="s">
        <v>115</v>
      </c>
      <c r="AK39" s="20" t="s">
        <v>45</v>
      </c>
      <c r="AL39" s="20" t="s">
        <v>53</v>
      </c>
      <c r="AM39" s="20" t="s">
        <v>54</v>
      </c>
      <c r="AN39" s="20"/>
      <c r="AO39" s="20"/>
      <c r="AP39" s="20"/>
      <c r="AQ39" s="80"/>
      <c r="AT39" s="9">
        <v>900</v>
      </c>
      <c r="AU39" s="9">
        <v>0.03</v>
      </c>
      <c r="AV39" s="9"/>
      <c r="AW39" s="9">
        <v>1350</v>
      </c>
      <c r="AX39" s="9">
        <v>0.03</v>
      </c>
    </row>
    <row r="40" spans="1:50" x14ac:dyDescent="0.25">
      <c r="A40" s="79"/>
      <c r="B40" s="20"/>
      <c r="C40" s="20"/>
      <c r="D40" s="20"/>
      <c r="E40" s="20"/>
      <c r="F40" s="20"/>
      <c r="G40" s="20"/>
      <c r="H40" s="20"/>
      <c r="I40" s="80"/>
      <c r="AD40" s="90"/>
      <c r="AE40" s="20" t="str">
        <f>Tabela_Elos_Imin[[#This Row],[Elo]]&amp;Tabela_Elos_Imin[[#This Row],[Tempo]]</f>
        <v>15k100</v>
      </c>
      <c r="AF40" s="20" t="s">
        <v>40</v>
      </c>
      <c r="AG40" s="20">
        <v>34</v>
      </c>
      <c r="AH40" s="20">
        <v>100</v>
      </c>
      <c r="AI40" s="20"/>
      <c r="AJ40" s="20" t="str">
        <f>Tabela_Elos_Imax[[#This Row],[Elo]]&amp;Tabela_Elos_Imax[[#This Row],[Tempo]]</f>
        <v>15k100</v>
      </c>
      <c r="AK40" s="20" t="s">
        <v>40</v>
      </c>
      <c r="AL40" s="20">
        <v>39</v>
      </c>
      <c r="AM40" s="20">
        <v>100</v>
      </c>
      <c r="AN40" s="20"/>
      <c r="AO40" s="20"/>
      <c r="AP40" s="20"/>
      <c r="AQ40" s="80"/>
      <c r="AT40" s="9">
        <v>1500</v>
      </c>
      <c r="AU40" s="9">
        <v>0.01</v>
      </c>
      <c r="AV40" s="9"/>
      <c r="AW40" s="9">
        <v>3000</v>
      </c>
      <c r="AX40" s="9">
        <v>1.4999999999999999E-2</v>
      </c>
    </row>
    <row r="41" spans="1:50" ht="15.75" thickBot="1" x14ac:dyDescent="0.3">
      <c r="A41" s="82"/>
      <c r="B41" s="83"/>
      <c r="C41" s="83"/>
      <c r="D41" s="83"/>
      <c r="E41" s="83"/>
      <c r="F41" s="83"/>
      <c r="G41" s="83"/>
      <c r="H41" s="83"/>
      <c r="I41" s="84"/>
      <c r="AD41" s="90"/>
      <c r="AE41" s="20" t="str">
        <f>Tabela_Elos_Imin[[#This Row],[Elo]]&amp;Tabela_Elos_Imin[[#This Row],[Tempo]]</f>
        <v>15k10</v>
      </c>
      <c r="AF41" s="20" t="s">
        <v>40</v>
      </c>
      <c r="AG41" s="20">
        <v>41</v>
      </c>
      <c r="AH41" s="20">
        <v>10</v>
      </c>
      <c r="AI41" s="20"/>
      <c r="AJ41" s="20" t="str">
        <f>Tabela_Elos_Imax[[#This Row],[Elo]]&amp;Tabela_Elos_Imax[[#This Row],[Tempo]]</f>
        <v>15k10</v>
      </c>
      <c r="AK41" s="20" t="s">
        <v>40</v>
      </c>
      <c r="AL41" s="20">
        <v>50</v>
      </c>
      <c r="AM41" s="20">
        <v>10</v>
      </c>
      <c r="AN41" s="20"/>
      <c r="AO41" s="20"/>
      <c r="AP41" s="20"/>
      <c r="AQ41" s="80"/>
      <c r="AT41" s="9"/>
      <c r="AU41" s="9"/>
      <c r="AV41" s="9"/>
      <c r="AW41" s="9"/>
      <c r="AX41" s="9"/>
    </row>
    <row r="42" spans="1:50" x14ac:dyDescent="0.25">
      <c r="A42" s="9"/>
      <c r="B42" s="9"/>
      <c r="C42" s="9"/>
      <c r="D42" s="9"/>
      <c r="E42" s="9"/>
      <c r="F42" s="9"/>
      <c r="G42" s="9"/>
      <c r="H42" s="9"/>
      <c r="I42" s="9"/>
      <c r="AD42" s="90"/>
      <c r="AE42" s="20" t="str">
        <f>Tabela_Elos_Imin[[#This Row],[Elo]]&amp;Tabela_Elos_Imin[[#This Row],[Tempo]]</f>
        <v>15k1</v>
      </c>
      <c r="AF42" s="20" t="s">
        <v>40</v>
      </c>
      <c r="AG42" s="20">
        <v>71</v>
      </c>
      <c r="AH42" s="20">
        <v>1</v>
      </c>
      <c r="AI42" s="20"/>
      <c r="AJ42" s="20" t="str">
        <f>Tabela_Elos_Imax[[#This Row],[Elo]]&amp;Tabela_Elos_Imax[[#This Row],[Tempo]]</f>
        <v>15k1</v>
      </c>
      <c r="AK42" s="20" t="s">
        <v>40</v>
      </c>
      <c r="AL42" s="20">
        <v>85</v>
      </c>
      <c r="AM42" s="20">
        <v>1</v>
      </c>
      <c r="AN42" s="20"/>
      <c r="AO42" s="20"/>
      <c r="AP42" s="20"/>
      <c r="AQ42" s="80"/>
      <c r="AT42" s="9" t="s">
        <v>74</v>
      </c>
      <c r="AU42" s="9"/>
      <c r="AV42" s="9"/>
      <c r="AW42" s="9" t="s">
        <v>75</v>
      </c>
      <c r="AX42" s="9"/>
    </row>
    <row r="43" spans="1:50" x14ac:dyDescent="0.25">
      <c r="A43" s="79"/>
      <c r="B43" s="20"/>
      <c r="C43" s="20"/>
      <c r="D43" s="20"/>
      <c r="E43" s="20"/>
      <c r="F43" s="20"/>
      <c r="G43" s="20"/>
      <c r="H43" s="9"/>
      <c r="I43" s="9"/>
      <c r="J43" s="9"/>
      <c r="AD43" s="90"/>
      <c r="AE43" s="20" t="str">
        <f>Tabela_Elos_Imin[[#This Row],[Elo]]&amp;Tabela_Elos_Imin[[#This Row],[Tempo]]</f>
        <v>15k0,1</v>
      </c>
      <c r="AF43" s="20" t="s">
        <v>40</v>
      </c>
      <c r="AG43" s="20">
        <v>180</v>
      </c>
      <c r="AH43" s="20">
        <v>0.1</v>
      </c>
      <c r="AI43" s="20"/>
      <c r="AJ43" s="20" t="str">
        <f>Tabela_Elos_Imax[[#This Row],[Elo]]&amp;Tabela_Elos_Imax[[#This Row],[Tempo]]</f>
        <v>15k0,1</v>
      </c>
      <c r="AK43" s="20" t="s">
        <v>40</v>
      </c>
      <c r="AL43" s="20">
        <v>250</v>
      </c>
      <c r="AM43" s="20">
        <v>0.1</v>
      </c>
      <c r="AN43" s="20"/>
      <c r="AO43" s="20"/>
      <c r="AP43" s="20"/>
      <c r="AQ43" s="80"/>
      <c r="AT43" s="9" t="s">
        <v>53</v>
      </c>
      <c r="AU43" s="9" t="s">
        <v>54</v>
      </c>
      <c r="AV43" s="9"/>
      <c r="AW43" s="9" t="s">
        <v>53</v>
      </c>
      <c r="AX43" s="9" t="s">
        <v>54</v>
      </c>
    </row>
    <row r="44" spans="1:50" x14ac:dyDescent="0.25">
      <c r="A44" s="79"/>
      <c r="B44" s="20"/>
      <c r="C44" s="20"/>
      <c r="D44" s="20"/>
      <c r="E44" s="20"/>
      <c r="F44" s="20"/>
      <c r="G44" s="20"/>
      <c r="H44" s="9"/>
      <c r="I44" s="9"/>
      <c r="J44" s="9"/>
      <c r="AD44" s="90"/>
      <c r="AE44" s="20" t="str">
        <f>Tabela_Elos_Imin[[#This Row],[Elo]]&amp;Tabela_Elos_Imin[[#This Row],[Tempo]]</f>
        <v>15k0,03</v>
      </c>
      <c r="AF44" s="20" t="s">
        <v>40</v>
      </c>
      <c r="AG44" s="20">
        <v>350</v>
      </c>
      <c r="AH44" s="20">
        <v>0.03</v>
      </c>
      <c r="AI44" s="20"/>
      <c r="AJ44" s="20" t="str">
        <f>Tabela_Elos_Imax[[#This Row],[Elo]]&amp;Tabela_Elos_Imax[[#This Row],[Tempo]]</f>
        <v>15k0,03</v>
      </c>
      <c r="AK44" s="20" t="s">
        <v>40</v>
      </c>
      <c r="AL44" s="20">
        <v>480</v>
      </c>
      <c r="AM44" s="20">
        <v>0.03</v>
      </c>
      <c r="AN44" s="20"/>
      <c r="AO44" s="20"/>
      <c r="AP44" s="20"/>
      <c r="AQ44" s="80"/>
      <c r="AT44" s="9">
        <v>130</v>
      </c>
      <c r="AU44" s="9">
        <v>100</v>
      </c>
      <c r="AV44" s="9"/>
      <c r="AW44" s="9">
        <v>150</v>
      </c>
      <c r="AX44" s="9">
        <v>100</v>
      </c>
    </row>
    <row r="45" spans="1:50" x14ac:dyDescent="0.25">
      <c r="A45" s="79"/>
      <c r="B45" s="20"/>
      <c r="C45" s="20"/>
      <c r="D45" s="20"/>
      <c r="E45" s="20"/>
      <c r="F45" s="20"/>
      <c r="G45" s="20"/>
      <c r="H45" s="9"/>
      <c r="I45" s="9"/>
      <c r="J45" s="9"/>
      <c r="AD45" s="90"/>
      <c r="AE45" s="20" t="str">
        <f>Tabela_Elos_Imin[[#This Row],[Elo]]&amp;Tabela_Elos_Imin[[#This Row],[Tempo]]</f>
        <v>15k0,01</v>
      </c>
      <c r="AF45" s="20" t="s">
        <v>40</v>
      </c>
      <c r="AG45" s="20">
        <v>600</v>
      </c>
      <c r="AH45" s="20">
        <v>0.01</v>
      </c>
      <c r="AI45" s="20"/>
      <c r="AJ45" s="20" t="str">
        <f>Tabela_Elos_Imax[[#This Row],[Elo]]&amp;Tabela_Elos_Imax[[#This Row],[Tempo]]</f>
        <v>15k0,015</v>
      </c>
      <c r="AK45" s="20" t="s">
        <v>40</v>
      </c>
      <c r="AL45" s="20">
        <v>1100</v>
      </c>
      <c r="AM45" s="20">
        <v>1.4999999999999999E-2</v>
      </c>
      <c r="AN45" s="20"/>
      <c r="AO45" s="20"/>
      <c r="AP45" s="20"/>
      <c r="AQ45" s="80"/>
      <c r="AT45" s="9">
        <v>170</v>
      </c>
      <c r="AU45" s="9">
        <v>10</v>
      </c>
      <c r="AV45" s="9"/>
      <c r="AW45" s="9">
        <v>210</v>
      </c>
      <c r="AX45" s="9">
        <v>10</v>
      </c>
    </row>
    <row r="46" spans="1:50" x14ac:dyDescent="0.25">
      <c r="H46" s="9"/>
      <c r="I46" s="9"/>
      <c r="J46" s="9"/>
      <c r="AD46" s="90"/>
      <c r="AE46" s="20" t="str">
        <f>Tabela_Elos_Imin[[#This Row],[Elo]]&amp;Tabela_Elos_Imin[[#This Row],[Tempo]]</f>
        <v>25k100</v>
      </c>
      <c r="AF46" s="20" t="s">
        <v>110</v>
      </c>
      <c r="AG46" s="20">
        <v>51</v>
      </c>
      <c r="AH46" s="20">
        <v>100</v>
      </c>
      <c r="AI46" s="20"/>
      <c r="AJ46" s="20" t="str">
        <f>Tabela_Elos_Imax[[#This Row],[Elo]]&amp;Tabela_Elos_Imax[[#This Row],[Tempo]]</f>
        <v>25k100</v>
      </c>
      <c r="AK46" s="20" t="s">
        <v>110</v>
      </c>
      <c r="AL46" s="20">
        <v>62</v>
      </c>
      <c r="AM46" s="20">
        <v>100</v>
      </c>
      <c r="AN46" s="20"/>
      <c r="AO46" s="20"/>
      <c r="AP46" s="20"/>
      <c r="AQ46" s="80"/>
      <c r="AT46" s="9">
        <v>300</v>
      </c>
      <c r="AU46" s="9">
        <v>1</v>
      </c>
      <c r="AV46" s="9"/>
      <c r="AW46" s="9">
        <v>350</v>
      </c>
      <c r="AX46" s="9">
        <v>1</v>
      </c>
    </row>
    <row r="47" spans="1:50" x14ac:dyDescent="0.25">
      <c r="J47" s="9"/>
      <c r="AD47" s="90"/>
      <c r="AE47" s="20" t="str">
        <f>Tabela_Elos_Imin[[#This Row],[Elo]]&amp;Tabela_Elos_Imin[[#This Row],[Tempo]]</f>
        <v>25k10</v>
      </c>
      <c r="AF47" s="20" t="s">
        <v>110</v>
      </c>
      <c r="AG47" s="20">
        <v>62</v>
      </c>
      <c r="AH47" s="20">
        <v>10</v>
      </c>
      <c r="AI47" s="20"/>
      <c r="AJ47" s="20" t="str">
        <f>Tabela_Elos_Imax[[#This Row],[Elo]]&amp;Tabela_Elos_Imax[[#This Row],[Tempo]]</f>
        <v>25k10</v>
      </c>
      <c r="AK47" s="20" t="s">
        <v>110</v>
      </c>
      <c r="AL47" s="20">
        <v>75</v>
      </c>
      <c r="AM47" s="20">
        <v>10</v>
      </c>
      <c r="AN47" s="20"/>
      <c r="AO47" s="20"/>
      <c r="AP47" s="20"/>
      <c r="AQ47" s="80"/>
      <c r="AT47" s="9">
        <v>850</v>
      </c>
      <c r="AU47" s="9">
        <v>0.1</v>
      </c>
      <c r="AV47" s="9"/>
      <c r="AW47" s="9">
        <v>1050</v>
      </c>
      <c r="AX47" s="9">
        <v>0.1</v>
      </c>
    </row>
    <row r="48" spans="1:50" x14ac:dyDescent="0.25">
      <c r="J48"/>
      <c r="AD48" s="90"/>
      <c r="AE48" s="20" t="str">
        <f>Tabela_Elos_Imin[[#This Row],[Elo]]&amp;Tabela_Elos_Imin[[#This Row],[Tempo]]</f>
        <v>25k1</v>
      </c>
      <c r="AF48" s="20" t="s">
        <v>110</v>
      </c>
      <c r="AG48" s="20">
        <v>110</v>
      </c>
      <c r="AH48" s="20">
        <v>1</v>
      </c>
      <c r="AI48" s="20"/>
      <c r="AJ48" s="20" t="str">
        <f>Tabela_Elos_Imax[[#This Row],[Elo]]&amp;Tabela_Elos_Imax[[#This Row],[Tempo]]</f>
        <v>25k1</v>
      </c>
      <c r="AK48" s="20" t="s">
        <v>110</v>
      </c>
      <c r="AL48" s="20">
        <v>130</v>
      </c>
      <c r="AM48" s="20">
        <v>1</v>
      </c>
      <c r="AN48" s="20"/>
      <c r="AO48" s="20"/>
      <c r="AP48" s="20"/>
      <c r="AQ48" s="80"/>
      <c r="AT48" s="9">
        <v>1500</v>
      </c>
      <c r="AU48" s="9">
        <v>0.03</v>
      </c>
      <c r="AV48" s="9"/>
      <c r="AW48" s="9">
        <v>2100</v>
      </c>
      <c r="AX48" s="9">
        <v>0.03</v>
      </c>
    </row>
    <row r="49" spans="10:50" x14ac:dyDescent="0.25">
      <c r="J49"/>
      <c r="AD49" s="90"/>
      <c r="AE49" s="20" t="str">
        <f>Tabela_Elos_Imin[[#This Row],[Elo]]&amp;Tabela_Elos_Imin[[#This Row],[Tempo]]</f>
        <v>25k0,1</v>
      </c>
      <c r="AF49" s="20" t="s">
        <v>110</v>
      </c>
      <c r="AG49" s="20">
        <v>310</v>
      </c>
      <c r="AH49" s="20">
        <v>0.1</v>
      </c>
      <c r="AI49" s="20"/>
      <c r="AJ49" s="20" t="str">
        <f>Tabela_Elos_Imax[[#This Row],[Elo]]&amp;Tabela_Elos_Imax[[#This Row],[Tempo]]</f>
        <v>25k0,1</v>
      </c>
      <c r="AK49" s="20" t="s">
        <v>110</v>
      </c>
      <c r="AL49" s="20">
        <v>400</v>
      </c>
      <c r="AM49" s="20">
        <v>0.1</v>
      </c>
      <c r="AN49" s="20"/>
      <c r="AO49" s="20"/>
      <c r="AP49" s="20"/>
      <c r="AQ49" s="80"/>
      <c r="AT49" s="9">
        <v>2500</v>
      </c>
      <c r="AU49" s="9">
        <v>0.01</v>
      </c>
      <c r="AV49" s="9"/>
      <c r="AW49" s="9">
        <v>5000</v>
      </c>
      <c r="AX49" s="9">
        <v>1.4999999999999999E-2</v>
      </c>
    </row>
    <row r="50" spans="10:50" x14ac:dyDescent="0.25">
      <c r="J50"/>
      <c r="AD50" s="79"/>
      <c r="AE50" s="20" t="str">
        <f>Tabela_Elos_Imin[[#This Row],[Elo]]&amp;Tabela_Elos_Imin[[#This Row],[Tempo]]</f>
        <v>25k0,03</v>
      </c>
      <c r="AF50" s="20" t="s">
        <v>110</v>
      </c>
      <c r="AG50" s="20">
        <v>560</v>
      </c>
      <c r="AH50" s="20">
        <v>0.03</v>
      </c>
      <c r="AI50" s="20"/>
      <c r="AJ50" s="20" t="str">
        <f>Tabela_Elos_Imax[[#This Row],[Elo]]&amp;Tabela_Elos_Imax[[#This Row],[Tempo]]</f>
        <v>25k0,03</v>
      </c>
      <c r="AK50" s="20" t="s">
        <v>110</v>
      </c>
      <c r="AL50" s="20">
        <v>850</v>
      </c>
      <c r="AM50" s="20">
        <v>0.03</v>
      </c>
      <c r="AN50" s="20"/>
      <c r="AO50" s="20"/>
      <c r="AP50" s="20"/>
      <c r="AQ50" s="80"/>
    </row>
    <row r="51" spans="10:50" x14ac:dyDescent="0.25">
      <c r="J51"/>
      <c r="AD51" s="79"/>
      <c r="AE51" s="20" t="str">
        <f>Tabela_Elos_Imin[[#This Row],[Elo]]&amp;Tabela_Elos_Imin[[#This Row],[Tempo]]</f>
        <v>25k0,01</v>
      </c>
      <c r="AF51" s="20" t="s">
        <v>110</v>
      </c>
      <c r="AG51" s="20">
        <v>980</v>
      </c>
      <c r="AH51" s="20">
        <v>0.01</v>
      </c>
      <c r="AI51" s="20"/>
      <c r="AJ51" s="20" t="str">
        <f>Tabela_Elos_Imax[[#This Row],[Elo]]&amp;Tabela_Elos_Imax[[#This Row],[Tempo]]</f>
        <v>25k0,015</v>
      </c>
      <c r="AK51" s="20" t="s">
        <v>110</v>
      </c>
      <c r="AL51" s="20">
        <v>1900</v>
      </c>
      <c r="AM51" s="20">
        <v>1.4999999999999999E-2</v>
      </c>
      <c r="AN51" s="20"/>
      <c r="AO51" s="20"/>
      <c r="AP51" s="20"/>
      <c r="AQ51" s="80"/>
    </row>
    <row r="52" spans="10:50" x14ac:dyDescent="0.25">
      <c r="J52"/>
      <c r="AD52" s="79"/>
      <c r="AE52" s="20" t="str">
        <f>Tabela_Elos_Imin[[#This Row],[Elo]]&amp;Tabela_Elos_Imin[[#This Row],[Tempo]]</f>
        <v>40k100</v>
      </c>
      <c r="AF52" s="20" t="s">
        <v>111</v>
      </c>
      <c r="AG52" s="20">
        <v>89</v>
      </c>
      <c r="AH52" s="20">
        <v>100</v>
      </c>
      <c r="AI52" s="20"/>
      <c r="AJ52" s="20" t="str">
        <f>Tabela_Elos_Imax[[#This Row],[Elo]]&amp;Tabela_Elos_Imax[[#This Row],[Tempo]]</f>
        <v>40k100</v>
      </c>
      <c r="AK52" s="20" t="s">
        <v>111</v>
      </c>
      <c r="AL52" s="20">
        <v>100</v>
      </c>
      <c r="AM52" s="20">
        <v>100</v>
      </c>
      <c r="AN52" s="20"/>
      <c r="AO52" s="20"/>
      <c r="AP52" s="20"/>
      <c r="AQ52" s="80"/>
    </row>
    <row r="53" spans="10:50" x14ac:dyDescent="0.25">
      <c r="J53" s="9"/>
      <c r="AD53" s="79"/>
      <c r="AE53" s="20" t="str">
        <f>Tabela_Elos_Imin[[#This Row],[Elo]]&amp;Tabela_Elos_Imin[[#This Row],[Tempo]]</f>
        <v>40k10</v>
      </c>
      <c r="AF53" s="20" t="s">
        <v>111</v>
      </c>
      <c r="AG53" s="20">
        <v>110</v>
      </c>
      <c r="AH53" s="20">
        <v>10</v>
      </c>
      <c r="AI53" s="20"/>
      <c r="AJ53" s="20" t="str">
        <f>Tabela_Elos_Imax[[#This Row],[Elo]]&amp;Tabela_Elos_Imax[[#This Row],[Tempo]]</f>
        <v>40k10</v>
      </c>
      <c r="AK53" s="20" t="s">
        <v>111</v>
      </c>
      <c r="AL53" s="20">
        <v>130</v>
      </c>
      <c r="AM53" s="20">
        <v>10</v>
      </c>
      <c r="AN53" s="20"/>
      <c r="AO53" s="20"/>
      <c r="AP53" s="20"/>
      <c r="AQ53" s="80"/>
    </row>
    <row r="54" spans="10:50" x14ac:dyDescent="0.25">
      <c r="J54" s="9"/>
      <c r="AD54" s="79"/>
      <c r="AE54" s="20" t="str">
        <f>Tabela_Elos_Imin[[#This Row],[Elo]]&amp;Tabela_Elos_Imin[[#This Row],[Tempo]]</f>
        <v>40k1</v>
      </c>
      <c r="AF54" s="20" t="s">
        <v>111</v>
      </c>
      <c r="AG54" s="20">
        <v>180</v>
      </c>
      <c r="AH54" s="20">
        <v>1</v>
      </c>
      <c r="AI54" s="20"/>
      <c r="AJ54" s="20" t="str">
        <f>Tabela_Elos_Imax[[#This Row],[Elo]]&amp;Tabela_Elos_Imax[[#This Row],[Tempo]]</f>
        <v>40k1</v>
      </c>
      <c r="AK54" s="20" t="s">
        <v>111</v>
      </c>
      <c r="AL54" s="20">
        <v>270</v>
      </c>
      <c r="AM54" s="20">
        <v>1</v>
      </c>
      <c r="AN54" s="20"/>
      <c r="AO54" s="20"/>
      <c r="AP54" s="20"/>
      <c r="AQ54" s="80"/>
    </row>
    <row r="55" spans="10:50" s="9" customFormat="1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79"/>
      <c r="AE55" s="20" t="str">
        <f>Tabela_Elos_Imin[[#This Row],[Elo]]&amp;Tabela_Elos_Imin[[#This Row],[Tempo]]</f>
        <v>40k0,1</v>
      </c>
      <c r="AF55" s="20" t="s">
        <v>111</v>
      </c>
      <c r="AG55" s="20">
        <v>500</v>
      </c>
      <c r="AH55" s="20">
        <v>0.1</v>
      </c>
      <c r="AI55" s="20"/>
      <c r="AJ55" s="20" t="str">
        <f>Tabela_Elos_Imax[[#This Row],[Elo]]&amp;Tabela_Elos_Imax[[#This Row],[Tempo]]</f>
        <v>40k0,1</v>
      </c>
      <c r="AK55" s="20" t="s">
        <v>111</v>
      </c>
      <c r="AL55" s="20">
        <v>650</v>
      </c>
      <c r="AM55" s="20">
        <v>0.1</v>
      </c>
      <c r="AN55" s="20"/>
      <c r="AO55" s="20"/>
      <c r="AP55" s="20"/>
      <c r="AQ55" s="80"/>
    </row>
    <row r="56" spans="10:50" x14ac:dyDescent="0.25">
      <c r="J56" s="9"/>
      <c r="AD56" s="79"/>
      <c r="AE56" s="20" t="str">
        <f>Tabela_Elos_Imin[[#This Row],[Elo]]&amp;Tabela_Elos_Imin[[#This Row],[Tempo]]</f>
        <v>40k0,03</v>
      </c>
      <c r="AF56" s="20" t="s">
        <v>111</v>
      </c>
      <c r="AG56" s="20">
        <v>900</v>
      </c>
      <c r="AH56" s="20">
        <v>0.03</v>
      </c>
      <c r="AI56" s="20"/>
      <c r="AJ56" s="20" t="str">
        <f>Tabela_Elos_Imax[[#This Row],[Elo]]&amp;Tabela_Elos_Imax[[#This Row],[Tempo]]</f>
        <v>40k0,03</v>
      </c>
      <c r="AK56" s="20" t="s">
        <v>111</v>
      </c>
      <c r="AL56" s="20">
        <v>1350</v>
      </c>
      <c r="AM56" s="20">
        <v>0.03</v>
      </c>
      <c r="AN56" s="20"/>
      <c r="AO56" s="20"/>
      <c r="AP56" s="20"/>
      <c r="AQ56" s="80"/>
    </row>
    <row r="57" spans="10:50" x14ac:dyDescent="0.25">
      <c r="J57"/>
      <c r="AD57" s="79"/>
      <c r="AE57" s="20" t="str">
        <f>Tabela_Elos_Imin[[#This Row],[Elo]]&amp;Tabela_Elos_Imin[[#This Row],[Tempo]]</f>
        <v>40k0,01</v>
      </c>
      <c r="AF57" s="20" t="s">
        <v>111</v>
      </c>
      <c r="AG57" s="20">
        <v>1500</v>
      </c>
      <c r="AH57" s="20">
        <v>0.01</v>
      </c>
      <c r="AI57" s="20"/>
      <c r="AJ57" s="20" t="str">
        <f>Tabela_Elos_Imax[[#This Row],[Elo]]&amp;Tabela_Elos_Imax[[#This Row],[Tempo]]</f>
        <v>40k0,015</v>
      </c>
      <c r="AK57" s="20" t="s">
        <v>111</v>
      </c>
      <c r="AL57" s="20">
        <v>3000</v>
      </c>
      <c r="AM57" s="20">
        <v>1.4999999999999999E-2</v>
      </c>
      <c r="AN57" s="20"/>
      <c r="AO57" s="20"/>
      <c r="AP57" s="20"/>
      <c r="AQ57" s="80"/>
    </row>
    <row r="58" spans="10:50" x14ac:dyDescent="0.25">
      <c r="J58"/>
      <c r="AD58" s="79"/>
      <c r="AE58" s="20" t="str">
        <f>Tabela_Elos_Imin[[#This Row],[Elo]]&amp;Tabela_Elos_Imin[[#This Row],[Tempo]]</f>
        <v>65k100</v>
      </c>
      <c r="AF58" s="20" t="s">
        <v>112</v>
      </c>
      <c r="AG58" s="20">
        <v>130</v>
      </c>
      <c r="AH58" s="20">
        <v>100</v>
      </c>
      <c r="AI58" s="20"/>
      <c r="AJ58" s="20" t="str">
        <f>Tabela_Elos_Imax[[#This Row],[Elo]]&amp;Tabela_Elos_Imax[[#This Row],[Tempo]]</f>
        <v>65k100</v>
      </c>
      <c r="AK58" s="20" t="s">
        <v>112</v>
      </c>
      <c r="AL58" s="20">
        <v>150</v>
      </c>
      <c r="AM58" s="20">
        <v>100</v>
      </c>
      <c r="AN58" s="20"/>
      <c r="AO58" s="20"/>
      <c r="AP58" s="20"/>
      <c r="AQ58" s="80"/>
    </row>
    <row r="59" spans="10:50" x14ac:dyDescent="0.25">
      <c r="J59"/>
      <c r="AD59" s="79"/>
      <c r="AE59" s="20" t="str">
        <f>Tabela_Elos_Imin[[#This Row],[Elo]]&amp;Tabela_Elos_Imin[[#This Row],[Tempo]]</f>
        <v>65k10</v>
      </c>
      <c r="AF59" s="20" t="s">
        <v>112</v>
      </c>
      <c r="AG59" s="20">
        <v>170</v>
      </c>
      <c r="AH59" s="20">
        <v>10</v>
      </c>
      <c r="AI59" s="20"/>
      <c r="AJ59" s="20" t="str">
        <f>Tabela_Elos_Imax[[#This Row],[Elo]]&amp;Tabela_Elos_Imax[[#This Row],[Tempo]]</f>
        <v>65k10</v>
      </c>
      <c r="AK59" s="20" t="s">
        <v>112</v>
      </c>
      <c r="AL59" s="20">
        <v>210</v>
      </c>
      <c r="AM59" s="20">
        <v>10</v>
      </c>
      <c r="AN59" s="20"/>
      <c r="AO59" s="20"/>
      <c r="AP59" s="20"/>
      <c r="AQ59" s="80"/>
    </row>
    <row r="60" spans="10:50" x14ac:dyDescent="0.25">
      <c r="J60"/>
      <c r="AD60" s="79"/>
      <c r="AE60" s="20" t="str">
        <f>Tabela_Elos_Imin[[#This Row],[Elo]]&amp;Tabela_Elos_Imin[[#This Row],[Tempo]]</f>
        <v>65k1</v>
      </c>
      <c r="AF60" s="20" t="s">
        <v>112</v>
      </c>
      <c r="AG60" s="20">
        <v>300</v>
      </c>
      <c r="AH60" s="20">
        <v>1</v>
      </c>
      <c r="AI60" s="20"/>
      <c r="AJ60" s="20" t="str">
        <f>Tabela_Elos_Imax[[#This Row],[Elo]]&amp;Tabela_Elos_Imax[[#This Row],[Tempo]]</f>
        <v>65k1</v>
      </c>
      <c r="AK60" s="20" t="s">
        <v>112</v>
      </c>
      <c r="AL60" s="20">
        <v>350</v>
      </c>
      <c r="AM60" s="20">
        <v>1</v>
      </c>
      <c r="AN60" s="20"/>
      <c r="AO60" s="20"/>
      <c r="AP60" s="20"/>
      <c r="AQ60" s="80"/>
    </row>
    <row r="61" spans="10:50" x14ac:dyDescent="0.25">
      <c r="J61"/>
      <c r="AD61" s="79"/>
      <c r="AE61" s="20" t="str">
        <f>Tabela_Elos_Imin[[#This Row],[Elo]]&amp;Tabela_Elos_Imin[[#This Row],[Tempo]]</f>
        <v>65k0,1</v>
      </c>
      <c r="AF61" s="20" t="s">
        <v>112</v>
      </c>
      <c r="AG61" s="20">
        <v>850</v>
      </c>
      <c r="AH61" s="20">
        <v>0.1</v>
      </c>
      <c r="AI61" s="20"/>
      <c r="AJ61" s="20" t="str">
        <f>Tabela_Elos_Imax[[#This Row],[Elo]]&amp;Tabela_Elos_Imax[[#This Row],[Tempo]]</f>
        <v>65k0,1</v>
      </c>
      <c r="AK61" s="20" t="s">
        <v>112</v>
      </c>
      <c r="AL61" s="20">
        <v>1050</v>
      </c>
      <c r="AM61" s="20">
        <v>0.1</v>
      </c>
      <c r="AN61" s="20"/>
      <c r="AO61" s="20"/>
      <c r="AP61" s="20"/>
      <c r="AQ61" s="80"/>
    </row>
    <row r="62" spans="10:50" x14ac:dyDescent="0.25">
      <c r="J62"/>
      <c r="AD62" s="79"/>
      <c r="AE62" s="20" t="str">
        <f>Tabela_Elos_Imin[[#This Row],[Elo]]&amp;Tabela_Elos_Imin[[#This Row],[Tempo]]</f>
        <v>65k0,03</v>
      </c>
      <c r="AF62" s="20" t="s">
        <v>112</v>
      </c>
      <c r="AG62" s="20">
        <v>1500</v>
      </c>
      <c r="AH62" s="20">
        <v>0.03</v>
      </c>
      <c r="AI62" s="20"/>
      <c r="AJ62" s="20" t="str">
        <f>Tabela_Elos_Imax[[#This Row],[Elo]]&amp;Tabela_Elos_Imax[[#This Row],[Tempo]]</f>
        <v>65k0,03</v>
      </c>
      <c r="AK62" s="20" t="s">
        <v>112</v>
      </c>
      <c r="AL62" s="20">
        <v>2100</v>
      </c>
      <c r="AM62" s="20">
        <v>0.03</v>
      </c>
      <c r="AN62" s="20"/>
      <c r="AO62" s="20"/>
      <c r="AP62" s="20"/>
      <c r="AQ62" s="80"/>
    </row>
    <row r="63" spans="10:50" x14ac:dyDescent="0.25">
      <c r="J63"/>
      <c r="AD63" s="79"/>
      <c r="AE63" s="20" t="str">
        <f>Tabela_Elos_Imin[[#This Row],[Elo]]&amp;Tabela_Elos_Imin[[#This Row],[Tempo]]</f>
        <v>65k0,01</v>
      </c>
      <c r="AF63" s="20" t="s">
        <v>112</v>
      </c>
      <c r="AG63" s="20">
        <v>2500</v>
      </c>
      <c r="AH63" s="20">
        <v>0.01</v>
      </c>
      <c r="AI63" s="20"/>
      <c r="AJ63" s="20" t="str">
        <f>Tabela_Elos_Imax[[#This Row],[Elo]]&amp;Tabela_Elos_Imax[[#This Row],[Tempo]]</f>
        <v>65k0,015</v>
      </c>
      <c r="AK63" s="20" t="s">
        <v>112</v>
      </c>
      <c r="AL63" s="20">
        <v>5000</v>
      </c>
      <c r="AM63" s="20">
        <v>1.4999999999999999E-2</v>
      </c>
      <c r="AN63" s="20"/>
      <c r="AO63" s="20"/>
      <c r="AP63" s="20"/>
      <c r="AQ63" s="80"/>
    </row>
    <row r="64" spans="10:50" x14ac:dyDescent="0.25">
      <c r="J64" s="9"/>
      <c r="AD64" s="79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80"/>
    </row>
    <row r="65" spans="10:43" ht="15.75" thickBot="1" x14ac:dyDescent="0.3">
      <c r="J65"/>
      <c r="AD65" s="82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4"/>
    </row>
    <row r="66" spans="10:43" x14ac:dyDescent="0.25">
      <c r="J66"/>
    </row>
    <row r="67" spans="10:43" x14ac:dyDescent="0.25">
      <c r="J67"/>
    </row>
    <row r="68" spans="10:43" x14ac:dyDescent="0.25">
      <c r="J68"/>
    </row>
    <row r="69" spans="10:43" x14ac:dyDescent="0.25">
      <c r="J69"/>
    </row>
    <row r="70" spans="10:43" x14ac:dyDescent="0.25">
      <c r="J70"/>
    </row>
    <row r="71" spans="10:43" x14ac:dyDescent="0.25">
      <c r="J71"/>
    </row>
    <row r="72" spans="10:43" x14ac:dyDescent="0.25">
      <c r="J72"/>
    </row>
    <row r="73" spans="10:43" x14ac:dyDescent="0.25">
      <c r="J73"/>
    </row>
    <row r="74" spans="10:43" x14ac:dyDescent="0.25">
      <c r="J74"/>
    </row>
    <row r="75" spans="10:43" x14ac:dyDescent="0.25">
      <c r="J75"/>
    </row>
    <row r="76" spans="10:43" x14ac:dyDescent="0.25">
      <c r="J76"/>
    </row>
    <row r="77" spans="10:43" x14ac:dyDescent="0.25">
      <c r="J77"/>
    </row>
    <row r="85" spans="1:30" s="9" customFormat="1" x14ac:dyDescent="0.25"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90" spans="1:30" x14ac:dyDescent="0.25">
      <c r="A90" t="s">
        <v>15</v>
      </c>
    </row>
    <row r="91" spans="1:30" s="9" customFormat="1" x14ac:dyDescent="0.25">
      <c r="A91" t="s">
        <v>5</v>
      </c>
      <c r="B91" t="s">
        <v>0</v>
      </c>
      <c r="C91" t="s">
        <v>1</v>
      </c>
      <c r="D91" t="s">
        <v>12</v>
      </c>
      <c r="E91" t="s">
        <v>46</v>
      </c>
      <c r="F91" t="s">
        <v>10</v>
      </c>
      <c r="G91" t="s">
        <v>11</v>
      </c>
      <c r="H91" t="s">
        <v>2</v>
      </c>
      <c r="I91" t="s">
        <v>45</v>
      </c>
      <c r="J91" s="6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6"/>
    </row>
    <row r="92" spans="1:30" s="9" customFormat="1" x14ac:dyDescent="0.25">
      <c r="A92" s="58">
        <v>1196</v>
      </c>
      <c r="B92" s="13">
        <v>13800</v>
      </c>
      <c r="C92" s="13"/>
      <c r="D92" s="58" t="s">
        <v>13</v>
      </c>
      <c r="E92" s="58">
        <v>1000</v>
      </c>
      <c r="F92" s="11">
        <f>Tabela_Demanda[Demanda]/(SQRT(3)*Tabela_Demanda[Alta]/1000)</f>
        <v>50.037023329767564</v>
      </c>
      <c r="G92" s="11">
        <f>Tabela_Demanda[In]*VLOOKUP(Tabela_Demanda[Consumidor],Tabela_TipoConsumidor[],2,FALSE)</f>
        <v>55.040725662744322</v>
      </c>
      <c r="H92" s="12">
        <f>Tabela_Demanda[Ip]/3</f>
        <v>18.346908554248106</v>
      </c>
      <c r="I92" s="13" t="str">
        <f>VLOOKUP(Tabela_Demanda[Pot. Instalada],Tabela_Elos[],2)</f>
        <v>40K</v>
      </c>
      <c r="J92" s="7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6"/>
    </row>
    <row r="93" spans="1:30" s="9" customFormat="1" x14ac:dyDescent="0.25">
      <c r="A93"/>
      <c r="B93"/>
      <c r="C93"/>
      <c r="D93"/>
      <c r="E93"/>
      <c r="F93"/>
      <c r="G93"/>
      <c r="H93"/>
      <c r="I93"/>
      <c r="J93" s="6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6"/>
    </row>
    <row r="94" spans="1:30" s="9" customFormat="1" x14ac:dyDescent="0.25">
      <c r="A94" t="s">
        <v>48</v>
      </c>
      <c r="B94"/>
      <c r="C94"/>
      <c r="D94"/>
      <c r="E94"/>
      <c r="F94" t="s">
        <v>67</v>
      </c>
      <c r="G94"/>
      <c r="H94"/>
      <c r="I94"/>
      <c r="J94" s="1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6"/>
    </row>
    <row r="95" spans="1:30" s="9" customFormat="1" x14ac:dyDescent="0.25">
      <c r="A95" t="s">
        <v>50</v>
      </c>
      <c r="B95" t="s">
        <v>34</v>
      </c>
      <c r="C95" t="s">
        <v>60</v>
      </c>
      <c r="D95" t="s">
        <v>9</v>
      </c>
      <c r="E95"/>
      <c r="F95" t="s">
        <v>27</v>
      </c>
      <c r="G95" t="s">
        <v>28</v>
      </c>
      <c r="H95" t="s">
        <v>29</v>
      </c>
      <c r="I95" t="s">
        <v>30</v>
      </c>
      <c r="J95" s="1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6"/>
    </row>
    <row r="96" spans="1:30" x14ac:dyDescent="0.25">
      <c r="A96" s="10" t="s">
        <v>51</v>
      </c>
      <c r="B96" s="59" t="s">
        <v>37</v>
      </c>
      <c r="C96" s="60">
        <v>0.2</v>
      </c>
      <c r="D96" s="14">
        <f>SUM(Tabela_Trafos[Irush])</f>
        <v>418.3697602823375</v>
      </c>
      <c r="F96" s="2">
        <f>VLOOKUP(Tabela_Demanda[Consumidor],Tabela_TipoConsumidor[],2,FALSE)*SUM(Tabela_Trafos[Irush])</f>
        <v>460.20673631057127</v>
      </c>
      <c r="G96" s="2">
        <f>F96/3</f>
        <v>153.4022454368571</v>
      </c>
      <c r="H96" s="8">
        <f>Tabela_PickUp[50_alta]/Tabela_RTC[RTC]</f>
        <v>11.505168407764282</v>
      </c>
      <c r="I96" s="8">
        <f>Tabela_PickUp[50N_alta]/Tabela_RTC[RTC]</f>
        <v>3.8350561359214277</v>
      </c>
      <c r="J96" s="1"/>
    </row>
    <row r="97" spans="1:10" x14ac:dyDescent="0.25">
      <c r="A97" s="10" t="s">
        <v>52</v>
      </c>
      <c r="B97" s="59" t="s">
        <v>37</v>
      </c>
      <c r="C97" s="60">
        <v>0.2</v>
      </c>
      <c r="D97" s="14">
        <f>D96/3</f>
        <v>139.45658676077917</v>
      </c>
      <c r="J97" s="1"/>
    </row>
    <row r="99" spans="1:10" x14ac:dyDescent="0.25">
      <c r="A99" t="s">
        <v>64</v>
      </c>
      <c r="G99" t="s">
        <v>49</v>
      </c>
    </row>
    <row r="100" spans="1:10" x14ac:dyDescent="0.25">
      <c r="A100" t="s">
        <v>18</v>
      </c>
      <c r="B100" t="s">
        <v>19</v>
      </c>
      <c r="C100" t="s">
        <v>20</v>
      </c>
      <c r="D100" s="4" t="s">
        <v>21</v>
      </c>
      <c r="E100" s="4" t="s">
        <v>22</v>
      </c>
      <c r="G100" t="s">
        <v>25</v>
      </c>
      <c r="H100" t="s">
        <v>26</v>
      </c>
      <c r="I100" s="4" t="s">
        <v>61</v>
      </c>
    </row>
    <row r="101" spans="1:10" x14ac:dyDescent="0.25">
      <c r="A101" s="59">
        <v>1133.43</v>
      </c>
      <c r="B101" s="59">
        <v>176.86</v>
      </c>
      <c r="C101" s="59">
        <v>750.42</v>
      </c>
      <c r="D101" s="1">
        <f>A101/20</f>
        <v>56.671500000000002</v>
      </c>
      <c r="E101" s="1">
        <f>Tabela_Icc[Icc3F]/50</f>
        <v>22.668600000000001</v>
      </c>
      <c r="G101" s="59">
        <v>200</v>
      </c>
      <c r="H101" s="59">
        <v>5</v>
      </c>
      <c r="I101" s="3">
        <f>Tabela_RTC[TC_alta]/Tabela_RTC[TC_baixa]</f>
        <v>40</v>
      </c>
    </row>
    <row r="103" spans="1:10" x14ac:dyDescent="0.25">
      <c r="A103" t="s">
        <v>123</v>
      </c>
      <c r="E103" t="s">
        <v>145</v>
      </c>
      <c r="F103">
        <f>COUNTIF('1.Formulário'!A16:A21,"VERDADEIRO")</f>
        <v>1</v>
      </c>
      <c r="G103" t="b">
        <v>1</v>
      </c>
    </row>
    <row r="104" spans="1:10" x14ac:dyDescent="0.25">
      <c r="A104" t="s">
        <v>3</v>
      </c>
      <c r="B104" t="s">
        <v>4</v>
      </c>
      <c r="C104" t="s">
        <v>8</v>
      </c>
      <c r="D104" s="4" t="s">
        <v>10</v>
      </c>
      <c r="E104" s="4" t="s">
        <v>11</v>
      </c>
      <c r="F104" s="4" t="s">
        <v>2</v>
      </c>
      <c r="G104" s="4" t="s">
        <v>9</v>
      </c>
      <c r="H104" s="4" t="s">
        <v>7</v>
      </c>
      <c r="I104" s="4" t="s">
        <v>116</v>
      </c>
      <c r="J104" s="4" t="s">
        <v>117</v>
      </c>
    </row>
    <row r="105" spans="1:10" x14ac:dyDescent="0.25">
      <c r="A105" s="59">
        <v>750</v>
      </c>
      <c r="B105" s="59" t="s">
        <v>158</v>
      </c>
      <c r="C105" s="59">
        <v>5</v>
      </c>
      <c r="D105" s="5">
        <f>Tabela_Trafos[[#This Row],[Potência]]/(0.92*SQRT(3)*Tabela_Demanda[Alta]/1000)</f>
        <v>34.106230457799256</v>
      </c>
      <c r="E105" s="5">
        <f>Tabela_Trafos[[#This Row],[In]]*VLOOKUP(Tabela_Demanda[Consumidor],Tabela_TipoConsumidor[],2,FALSE)</f>
        <v>37.516853503579185</v>
      </c>
      <c r="F105" s="5">
        <f>Tabela_Trafos[[#This Row],[Ip]]/3</f>
        <v>12.505617834526396</v>
      </c>
      <c r="G105" s="1">
        <f>VLOOKUP(Tabela_Trafos[[#This Row],[Tipo]],Tabela_TipoTrafo[],2,FALSE)*Tabela_Trafos[[#This Row],[Potência]]/(SQRT(3)*Tabela_Demanda[Alta]/1000)</f>
        <v>251.0218561694025</v>
      </c>
      <c r="H105" s="1">
        <f>0.58*100*Tabela_Trafos[[#This Row],[Potência]]/(SQRT(3)*Tabela_Trafos[[#This Row],[Z%]]*Tabela_Demanda[Alta]/1000)</f>
        <v>363.9816914456336</v>
      </c>
      <c r="I105" s="15">
        <f>VLOOKUP(Tabela_Trafos[[#This Row],[Z%]],Tabela_Impedancia[],2,FALSE)</f>
        <v>20</v>
      </c>
      <c r="J105" s="15">
        <f>VLOOKUP(Tabela_Trafos[[#This Row],[Z%]],Tabela_Impedancia[],3,FALSE)</f>
        <v>3</v>
      </c>
    </row>
    <row r="106" spans="1:10" x14ac:dyDescent="0.25">
      <c r="A106" s="59">
        <v>500</v>
      </c>
      <c r="B106" s="59" t="s">
        <v>158</v>
      </c>
      <c r="C106" s="59">
        <v>5</v>
      </c>
      <c r="D106" s="5">
        <f>Tabela_Trafos[[#This Row],[Potência]]/(0.92*SQRT(3)*Tabela_Demanda[Alta]/1000)</f>
        <v>22.737486971866169</v>
      </c>
      <c r="E106" s="5">
        <f>Tabela_Trafos[[#This Row],[In]]*VLOOKUP(Tabela_Demanda[Consumidor],Tabela_TipoConsumidor[],2,FALSE)</f>
        <v>25.011235669052788</v>
      </c>
      <c r="F106" s="5">
        <f>Tabela_Trafos[[#This Row],[Ip]]/3</f>
        <v>8.3370785563509298</v>
      </c>
      <c r="G106" s="1">
        <f>VLOOKUP(Tabela_Trafos[[#This Row],[Tipo]],Tabela_TipoTrafo[],2,FALSE)*Tabela_Trafos[[#This Row],[Potência]]/(SQRT(3)*Tabela_Demanda[Alta]/1000)</f>
        <v>167.347904112935</v>
      </c>
      <c r="H106" s="1">
        <f>0.58*100*Tabela_Trafos[[#This Row],[Potência]]/(SQRT(3)*Tabela_Trafos[[#This Row],[Z%]]*Tabela_Demanda[Alta]/1000)</f>
        <v>242.65446096375575</v>
      </c>
      <c r="I106" s="15">
        <f>VLOOKUP(Tabela_Trafos[[#This Row],[Z%]],Tabela_Impedancia[],2,FALSE)</f>
        <v>20</v>
      </c>
      <c r="J106" s="15">
        <f>VLOOKUP(Tabela_Trafos[[#This Row],[Z%]],Tabela_Impedancia[],3,FALSE)</f>
        <v>3</v>
      </c>
    </row>
  </sheetData>
  <mergeCells count="2">
    <mergeCell ref="AW1:AX1"/>
    <mergeCell ref="AU1:AV1"/>
  </mergeCells>
  <dataValidations count="4">
    <dataValidation type="list" allowBlank="1" showErrorMessage="1" sqref="D92" xr:uid="{00000000-0002-0000-0100-000000000000}">
      <formula1>$AE$11:$AE$12</formula1>
    </dataValidation>
    <dataValidation type="list" allowBlank="1" sqref="B105:B106" xr:uid="{00000000-0002-0000-0100-000001000000}">
      <formula1>$AE$5:$AE$6</formula1>
    </dataValidation>
    <dataValidation type="list" allowBlank="1" sqref="E92" xr:uid="{00000000-0002-0000-0100-000002000000}">
      <formula1>$AI$6:$AI$13</formula1>
    </dataValidation>
    <dataValidation type="list" allowBlank="1" showErrorMessage="1" sqref="B96:B97" xr:uid="{00000000-0002-0000-0100-000003000000}">
      <formula1>$AE$23:$AE$31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headerFooter>
    <oddHeader>&amp;CParametros da Instalação</oddHeader>
    <oddFooter>&amp;C&amp;1#&amp;"Calibri"&amp;12&amp;K008000Internal Use</oddFooter>
  </headerFooter>
  <drawing r:id="rId2"/>
  <legacyDrawing r:id="rId3"/>
  <tableParts count="28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z I T P U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M y E z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h M 9 S K I p H u A 4 A A A A R A A A A E w A c A E Z v c m 1 1 b G F z L 1 N l Y 3 R p b 2 4 x L m 0 g o h g A K K A U A A A A A A A A A A A A A A A A A A A A A A A A A A A A K 0 5 N L s n M z 1 M I h t C G 1 g B Q S w E C L Q A U A A I A C A D M h M 9 S T i g k J a g A A A D 4 A A A A E g A A A A A A A A A A A A A A A A A A A A A A Q 2 9 u Z m l n L 1 B h Y 2 t h Z 2 U u e G 1 s U E s B A i 0 A F A A C A A g A z I T P U g / K 6 a u k A A A A 6 Q A A A B M A A A A A A A A A A A A A A A A A 9 A A A A F t D b 2 5 0 Z W 5 0 X 1 R 5 c G V z X S 5 4 b W x Q S w E C L Q A U A A I A C A D M h M 9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C c z Z E c 0 X k S u l Y Q e y 9 y d K Q A A A A A C A A A A A A A D Z g A A w A A A A B A A A A D N + h r G h R f D x h u d w 8 b N d S + c A A A A A A S A A A C g A A A A E A A A A B H C z g X l k E w Q S E u + P n v D + b l Q A A A A F d o z 8 + d a 4 E P 4 P X X c k F W 3 h o j o N J Q J v T Z 8 6 7 o Q d 4 u 8 0 6 J g 4 I 3 2 / Y t t W m c x j i i A 9 M e j 5 n H 6 U N e V j j M t 3 C u 3 c 5 J B 0 8 v 6 s t Z y 4 j V a h f g j c K s 3 z P k U A A A A i O 4 I h B y + Z I Y K i L M x W D f X t C X N 2 6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5003E6B6A4DC4398553676C8EADC4B" ma:contentTypeVersion="2" ma:contentTypeDescription="Crie um novo documento." ma:contentTypeScope="" ma:versionID="dbb4189800d0a1787f31d2d8a32dfa66">
  <xsd:schema xmlns:xsd="http://www.w3.org/2001/XMLSchema" xmlns:xs="http://www.w3.org/2001/XMLSchema" xmlns:p="http://schemas.microsoft.com/office/2006/metadata/properties" xmlns:ns1="http://schemas.microsoft.com/sharepoint/v3" xmlns:ns2="473ba1c0-57c4-4a44-96cc-c1c24555a9ed" targetNamespace="http://schemas.microsoft.com/office/2006/metadata/properties" ma:root="true" ma:fieldsID="96902f85c3f8d41f1d1811830802a713" ns1:_="" ns2:_="">
    <xsd:import namespace="http://schemas.microsoft.com/sharepoint/v3"/>
    <xsd:import namespace="473ba1c0-57c4-4a44-96cc-c1c24555a9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ba1c0-57c4-4a44-96cc-c1c24555a9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E7908B-6683-4A35-A1D7-65EBC607502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B021164-DAEE-4563-8D0C-974012F5D2C1}"/>
</file>

<file path=customXml/itemProps3.xml><?xml version="1.0" encoding="utf-8"?>
<ds:datastoreItem xmlns:ds="http://schemas.openxmlformats.org/officeDocument/2006/customXml" ds:itemID="{BAC30F94-12A8-4AFC-A151-4A6DA6B4E967}"/>
</file>

<file path=customXml/itemProps4.xml><?xml version="1.0" encoding="utf-8"?>
<ds:datastoreItem xmlns:ds="http://schemas.openxmlformats.org/officeDocument/2006/customXml" ds:itemID="{BBDA294A-D42A-4207-BF4A-99DCF2407F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1.Formulário</vt:lpstr>
      <vt:lpstr>2.Tabelas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Garcia Oliveira</dc:creator>
  <cp:lastModifiedBy>Guerreiro Lasneaux, Marilia</cp:lastModifiedBy>
  <cp:lastPrinted>2021-06-16T13:36:14Z</cp:lastPrinted>
  <dcterms:created xsi:type="dcterms:W3CDTF">2021-06-02T17:27:04Z</dcterms:created>
  <dcterms:modified xsi:type="dcterms:W3CDTF">2022-10-25T20:55:07Z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2022-10-25T20:54:39Z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8a3b37bc-49bb-4704-9146-90d8bedc84c8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0x010100295003E6B6A4DC4398553676C8EADC4B</vt:lpwstr>
  </property>
</Properties>
</file>